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20115" windowHeight="8085" activeTab="4"/>
  </bookViews>
  <sheets>
    <sheet name="Hoja1" sheetId="1" r:id="rId1"/>
    <sheet name="Hoja2" sheetId="2" r:id="rId2"/>
    <sheet name="Hoja3" sheetId="3" r:id="rId3"/>
    <sheet name="Hoja4" sheetId="4" r:id="rId4"/>
    <sheet name="MONTADA NUEVAMENTE" sheetId="5" r:id="rId5"/>
  </sheets>
  <calcPr calcId="145621" iterateDelta="1.0000000000000001E-5"/>
</workbook>
</file>

<file path=xl/calcChain.xml><?xml version="1.0" encoding="utf-8"?>
<calcChain xmlns="http://schemas.openxmlformats.org/spreadsheetml/2006/main">
  <c r="AJ15" i="5" l="1"/>
  <c r="Y5" i="5" l="1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4" i="5"/>
  <c r="Q5" i="5"/>
  <c r="S5" i="5" s="1"/>
  <c r="Q6" i="5"/>
  <c r="S6" i="5" s="1"/>
  <c r="Q7" i="5"/>
  <c r="S7" i="5" s="1"/>
  <c r="Q8" i="5"/>
  <c r="S8" i="5" s="1"/>
  <c r="Q9" i="5"/>
  <c r="S9" i="5" s="1"/>
  <c r="Q10" i="5"/>
  <c r="S10" i="5" s="1"/>
  <c r="Q11" i="5"/>
  <c r="S11" i="5" s="1"/>
  <c r="Q12" i="5"/>
  <c r="S12" i="5" s="1"/>
  <c r="Q13" i="5"/>
  <c r="S13" i="5" s="1"/>
  <c r="Q14" i="5"/>
  <c r="S14" i="5" s="1"/>
  <c r="Q15" i="5"/>
  <c r="S15" i="5" s="1"/>
  <c r="Q16" i="5"/>
  <c r="S16" i="5" s="1"/>
  <c r="Q17" i="5"/>
  <c r="S17" i="5" s="1"/>
  <c r="Q18" i="5"/>
  <c r="S18" i="5" s="1"/>
  <c r="Q19" i="5"/>
  <c r="S19" i="5" s="1"/>
  <c r="Q20" i="5"/>
  <c r="S20" i="5" s="1"/>
  <c r="Q21" i="5"/>
  <c r="S21" i="5" s="1"/>
  <c r="Q4" i="5"/>
  <c r="S4" i="5" s="1"/>
  <c r="P5" i="5"/>
  <c r="U5" i="5" s="1"/>
  <c r="P6" i="5"/>
  <c r="R6" i="5" s="1"/>
  <c r="W6" i="5" s="1"/>
  <c r="P7" i="5"/>
  <c r="U7" i="5" s="1"/>
  <c r="P8" i="5"/>
  <c r="R8" i="5" s="1"/>
  <c r="W8" i="5" s="1"/>
  <c r="P9" i="5"/>
  <c r="U9" i="5" s="1"/>
  <c r="P10" i="5"/>
  <c r="R10" i="5" s="1"/>
  <c r="W10" i="5" s="1"/>
  <c r="P11" i="5"/>
  <c r="U11" i="5" s="1"/>
  <c r="P12" i="5"/>
  <c r="R12" i="5" s="1"/>
  <c r="W12" i="5" s="1"/>
  <c r="P13" i="5"/>
  <c r="U13" i="5" s="1"/>
  <c r="P14" i="5"/>
  <c r="R14" i="5" s="1"/>
  <c r="W14" i="5" s="1"/>
  <c r="P15" i="5"/>
  <c r="U15" i="5" s="1"/>
  <c r="P16" i="5"/>
  <c r="R16" i="5" s="1"/>
  <c r="W16" i="5" s="1"/>
  <c r="P17" i="5"/>
  <c r="U17" i="5" s="1"/>
  <c r="P18" i="5"/>
  <c r="R18" i="5" s="1"/>
  <c r="W18" i="5" s="1"/>
  <c r="P19" i="5"/>
  <c r="U19" i="5" s="1"/>
  <c r="P20" i="5"/>
  <c r="R20" i="5" s="1"/>
  <c r="W20" i="5" s="1"/>
  <c r="P21" i="5"/>
  <c r="U21" i="5" s="1"/>
  <c r="P4" i="5"/>
  <c r="U4" i="5" s="1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4" i="5"/>
  <c r="M21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4" i="5"/>
  <c r="J14" i="5"/>
  <c r="J15" i="5"/>
  <c r="E15" i="5" s="1"/>
  <c r="J16" i="5"/>
  <c r="J17" i="5"/>
  <c r="E17" i="5" s="1"/>
  <c r="J18" i="5"/>
  <c r="J19" i="5"/>
  <c r="E19" i="5" s="1"/>
  <c r="J20" i="5"/>
  <c r="J21" i="5"/>
  <c r="E21" i="5" s="1"/>
  <c r="E5" i="5"/>
  <c r="E6" i="5"/>
  <c r="E7" i="5"/>
  <c r="E8" i="5"/>
  <c r="E9" i="5"/>
  <c r="E10" i="5"/>
  <c r="E11" i="5"/>
  <c r="E12" i="5"/>
  <c r="E13" i="5"/>
  <c r="E14" i="5"/>
  <c r="E16" i="5"/>
  <c r="E18" i="5"/>
  <c r="E20" i="5"/>
  <c r="E4" i="5"/>
  <c r="J5" i="5"/>
  <c r="J6" i="5"/>
  <c r="J7" i="5"/>
  <c r="J8" i="5"/>
  <c r="J9" i="5"/>
  <c r="J10" i="5"/>
  <c r="J11" i="5"/>
  <c r="J12" i="5"/>
  <c r="J13" i="5"/>
  <c r="J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4" i="5"/>
  <c r="V21" i="5" l="1"/>
  <c r="V19" i="5"/>
  <c r="V17" i="5"/>
  <c r="V15" i="5"/>
  <c r="V13" i="5"/>
  <c r="V11" i="5"/>
  <c r="V9" i="5"/>
  <c r="V7" i="5"/>
  <c r="V5" i="5"/>
  <c r="R19" i="5"/>
  <c r="X19" i="5" s="1"/>
  <c r="R15" i="5"/>
  <c r="X15" i="5" s="1"/>
  <c r="R11" i="5"/>
  <c r="X11" i="5" s="1"/>
  <c r="R7" i="5"/>
  <c r="X7" i="5" s="1"/>
  <c r="V20" i="5"/>
  <c r="V18" i="5"/>
  <c r="V16" i="5"/>
  <c r="V14" i="5"/>
  <c r="V12" i="5"/>
  <c r="V10" i="5"/>
  <c r="V8" i="5"/>
  <c r="V6" i="5"/>
  <c r="R21" i="5"/>
  <c r="X21" i="5" s="1"/>
  <c r="R17" i="5"/>
  <c r="X17" i="5" s="1"/>
  <c r="R13" i="5"/>
  <c r="X13" i="5" s="1"/>
  <c r="R9" i="5"/>
  <c r="X9" i="5" s="1"/>
  <c r="R5" i="5"/>
  <c r="X5" i="5" s="1"/>
  <c r="V4" i="5"/>
  <c r="U20" i="5"/>
  <c r="U16" i="5"/>
  <c r="U12" i="5"/>
  <c r="U8" i="5"/>
  <c r="W21" i="5"/>
  <c r="W17" i="5"/>
  <c r="Z17" i="5" s="1"/>
  <c r="AA17" i="5" s="1"/>
  <c r="AB17" i="5" s="1"/>
  <c r="W13" i="5"/>
  <c r="W9" i="5"/>
  <c r="Z9" i="5" s="1"/>
  <c r="AA9" i="5" s="1"/>
  <c r="AB9" i="5" s="1"/>
  <c r="W5" i="5"/>
  <c r="X18" i="5"/>
  <c r="X14" i="5"/>
  <c r="X10" i="5"/>
  <c r="X6" i="5"/>
  <c r="U18" i="5"/>
  <c r="Z18" i="5" s="1"/>
  <c r="AA18" i="5" s="1"/>
  <c r="AB18" i="5" s="1"/>
  <c r="U14" i="5"/>
  <c r="U10" i="5"/>
  <c r="Z10" i="5" s="1"/>
  <c r="AA10" i="5" s="1"/>
  <c r="AB10" i="5" s="1"/>
  <c r="U6" i="5"/>
  <c r="W15" i="5"/>
  <c r="Z15" i="5" s="1"/>
  <c r="AA15" i="5" s="1"/>
  <c r="AB15" i="5" s="1"/>
  <c r="X20" i="5"/>
  <c r="X16" i="5"/>
  <c r="X12" i="5"/>
  <c r="X8" i="5"/>
  <c r="R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4" i="5"/>
  <c r="U2" i="3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B14" i="4"/>
  <c r="D3" i="4"/>
  <c r="B29" i="3"/>
  <c r="D29" i="3"/>
  <c r="K29" i="3" s="1"/>
  <c r="E29" i="3"/>
  <c r="I29" i="3"/>
  <c r="O29" i="3"/>
  <c r="U29" i="3"/>
  <c r="B28" i="3"/>
  <c r="B14" i="3"/>
  <c r="D14" i="3"/>
  <c r="K14" i="3" s="1"/>
  <c r="E14" i="3"/>
  <c r="I14" i="3"/>
  <c r="M14" i="3" s="1"/>
  <c r="O14" i="3"/>
  <c r="B15" i="3"/>
  <c r="D15" i="3"/>
  <c r="K15" i="3" s="1"/>
  <c r="E15" i="3"/>
  <c r="I15" i="3"/>
  <c r="O15" i="3"/>
  <c r="B16" i="3"/>
  <c r="D16" i="3"/>
  <c r="K16" i="3" s="1"/>
  <c r="E16" i="3"/>
  <c r="I16" i="3"/>
  <c r="O16" i="3"/>
  <c r="B17" i="3"/>
  <c r="D17" i="3"/>
  <c r="E17" i="3"/>
  <c r="K17" i="3" s="1"/>
  <c r="M17" i="3" s="1"/>
  <c r="I17" i="3"/>
  <c r="O17" i="3"/>
  <c r="S17" i="3" s="1"/>
  <c r="B18" i="3"/>
  <c r="D18" i="3"/>
  <c r="E18" i="3"/>
  <c r="I18" i="3"/>
  <c r="O18" i="3"/>
  <c r="B19" i="3"/>
  <c r="D19" i="3"/>
  <c r="E19" i="3"/>
  <c r="I19" i="3"/>
  <c r="O19" i="3"/>
  <c r="B20" i="3"/>
  <c r="D20" i="3"/>
  <c r="E20" i="3"/>
  <c r="I20" i="3"/>
  <c r="K20" i="3"/>
  <c r="O20" i="3"/>
  <c r="B21" i="3"/>
  <c r="D21" i="3"/>
  <c r="K21" i="3" s="1"/>
  <c r="M21" i="3" s="1"/>
  <c r="T21" i="3" s="1"/>
  <c r="E21" i="3"/>
  <c r="I21" i="3"/>
  <c r="O21" i="3"/>
  <c r="U21" i="3"/>
  <c r="B22" i="3"/>
  <c r="D22" i="3"/>
  <c r="K22" i="3" s="1"/>
  <c r="E22" i="3"/>
  <c r="I22" i="3"/>
  <c r="M22" i="3" s="1"/>
  <c r="O22" i="3"/>
  <c r="U22" i="3"/>
  <c r="B23" i="3"/>
  <c r="D23" i="3"/>
  <c r="K23" i="3" s="1"/>
  <c r="E23" i="3"/>
  <c r="I23" i="3"/>
  <c r="O23" i="3"/>
  <c r="U23" i="3"/>
  <c r="B24" i="3"/>
  <c r="D24" i="3"/>
  <c r="K24" i="3" s="1"/>
  <c r="E24" i="3"/>
  <c r="I24" i="3"/>
  <c r="O24" i="3"/>
  <c r="U24" i="3"/>
  <c r="B25" i="3"/>
  <c r="D25" i="3"/>
  <c r="E25" i="3"/>
  <c r="I25" i="3"/>
  <c r="K25" i="3"/>
  <c r="M25" i="3" s="1"/>
  <c r="T25" i="3" s="1"/>
  <c r="O25" i="3"/>
  <c r="U25" i="3"/>
  <c r="B26" i="3"/>
  <c r="D26" i="3"/>
  <c r="E26" i="3"/>
  <c r="I26" i="3"/>
  <c r="O26" i="3"/>
  <c r="U26" i="3"/>
  <c r="B27" i="3"/>
  <c r="C31" i="3" s="1"/>
  <c r="D27" i="3"/>
  <c r="E27" i="3"/>
  <c r="I27" i="3"/>
  <c r="O27" i="3"/>
  <c r="U27" i="3"/>
  <c r="D28" i="3"/>
  <c r="K28" i="3" s="1"/>
  <c r="E28" i="3"/>
  <c r="I28" i="3"/>
  <c r="O28" i="3"/>
  <c r="U28" i="3"/>
  <c r="O13" i="3"/>
  <c r="I13" i="3"/>
  <c r="E13" i="3"/>
  <c r="D13" i="3"/>
  <c r="B13" i="3"/>
  <c r="O12" i="3"/>
  <c r="I12" i="3"/>
  <c r="E12" i="3"/>
  <c r="D12" i="3"/>
  <c r="K12" i="3" s="1"/>
  <c r="M12" i="3" s="1"/>
  <c r="B12" i="3"/>
  <c r="O11" i="3"/>
  <c r="I11" i="3"/>
  <c r="E11" i="3"/>
  <c r="K11" i="3" s="1"/>
  <c r="D11" i="3"/>
  <c r="B11" i="3"/>
  <c r="O10" i="3"/>
  <c r="I10" i="3"/>
  <c r="E10" i="3"/>
  <c r="D10" i="3"/>
  <c r="K10" i="3" s="1"/>
  <c r="M10" i="3" s="1"/>
  <c r="B10" i="3"/>
  <c r="O9" i="3"/>
  <c r="I9" i="3"/>
  <c r="E9" i="3"/>
  <c r="D9" i="3"/>
  <c r="K9" i="3" s="1"/>
  <c r="B9" i="3"/>
  <c r="O8" i="3"/>
  <c r="I8" i="3"/>
  <c r="E8" i="3"/>
  <c r="D8" i="3"/>
  <c r="K8" i="3" s="1"/>
  <c r="B8" i="3"/>
  <c r="O7" i="3"/>
  <c r="I7" i="3"/>
  <c r="E7" i="3"/>
  <c r="D7" i="3"/>
  <c r="B7" i="3"/>
  <c r="O6" i="3"/>
  <c r="I6" i="3"/>
  <c r="M6" i="3" s="1"/>
  <c r="E6" i="3"/>
  <c r="K6" i="3" s="1"/>
  <c r="D6" i="3"/>
  <c r="B6" i="3"/>
  <c r="O5" i="3"/>
  <c r="I5" i="3"/>
  <c r="E5" i="3"/>
  <c r="D5" i="3"/>
  <c r="K5" i="3" s="1"/>
  <c r="B5" i="3"/>
  <c r="O4" i="3"/>
  <c r="I4" i="3"/>
  <c r="E4" i="3"/>
  <c r="K4" i="3" s="1"/>
  <c r="D4" i="3"/>
  <c r="B4" i="3"/>
  <c r="O3" i="3"/>
  <c r="I3" i="3"/>
  <c r="E3" i="3"/>
  <c r="D3" i="3"/>
  <c r="K3" i="3" s="1"/>
  <c r="B3" i="3"/>
  <c r="O2" i="3"/>
  <c r="I2" i="3"/>
  <c r="E2" i="3"/>
  <c r="D2" i="3"/>
  <c r="K2" i="3" s="1"/>
  <c r="B2" i="3"/>
  <c r="H18" i="1"/>
  <c r="G18" i="1"/>
  <c r="H17" i="1"/>
  <c r="G17" i="1"/>
  <c r="A16" i="1"/>
  <c r="E11" i="1"/>
  <c r="P5" i="1"/>
  <c r="J5" i="1"/>
  <c r="F5" i="1"/>
  <c r="E5" i="1"/>
  <c r="C5" i="1"/>
  <c r="Q5" i="1" s="1"/>
  <c r="E11" i="2"/>
  <c r="H18" i="2"/>
  <c r="H17" i="2"/>
  <c r="G18" i="2"/>
  <c r="G17" i="2"/>
  <c r="J5" i="2"/>
  <c r="A16" i="2"/>
  <c r="P5" i="2"/>
  <c r="F5" i="2"/>
  <c r="E5" i="2"/>
  <c r="C5" i="2"/>
  <c r="W7" i="5" l="1"/>
  <c r="Z7" i="5" s="1"/>
  <c r="AA7" i="5" s="1"/>
  <c r="AB7" i="5" s="1"/>
  <c r="Z6" i="5"/>
  <c r="AA6" i="5" s="1"/>
  <c r="AB6" i="5" s="1"/>
  <c r="Z14" i="5"/>
  <c r="AA14" i="5" s="1"/>
  <c r="AB14" i="5" s="1"/>
  <c r="Z5" i="5"/>
  <c r="AA5" i="5" s="1"/>
  <c r="AB5" i="5" s="1"/>
  <c r="Z13" i="5"/>
  <c r="AA13" i="5" s="1"/>
  <c r="AB13" i="5" s="1"/>
  <c r="Z21" i="5"/>
  <c r="AA21" i="5" s="1"/>
  <c r="AB21" i="5" s="1"/>
  <c r="W11" i="5"/>
  <c r="Z11" i="5" s="1"/>
  <c r="AA11" i="5" s="1"/>
  <c r="AB11" i="5" s="1"/>
  <c r="W19" i="5"/>
  <c r="Z19" i="5" s="1"/>
  <c r="AA19" i="5" s="1"/>
  <c r="AB19" i="5" s="1"/>
  <c r="Z12" i="5"/>
  <c r="AA12" i="5" s="1"/>
  <c r="AB12" i="5" s="1"/>
  <c r="Z20" i="5"/>
  <c r="AA20" i="5" s="1"/>
  <c r="AB20" i="5" s="1"/>
  <c r="Z8" i="5"/>
  <c r="AA8" i="5" s="1"/>
  <c r="AB8" i="5" s="1"/>
  <c r="Z16" i="5"/>
  <c r="AA16" i="5" s="1"/>
  <c r="AB16" i="5" s="1"/>
  <c r="X4" i="5"/>
  <c r="W4" i="5"/>
  <c r="T6" i="3"/>
  <c r="N6" i="3"/>
  <c r="M3" i="3"/>
  <c r="M9" i="3"/>
  <c r="M11" i="3"/>
  <c r="R11" i="3" s="1"/>
  <c r="M8" i="3"/>
  <c r="R8" i="3" s="1"/>
  <c r="R9" i="3"/>
  <c r="M28" i="3"/>
  <c r="R28" i="3" s="1"/>
  <c r="S25" i="3"/>
  <c r="M24" i="3"/>
  <c r="R24" i="3" s="1"/>
  <c r="M16" i="3"/>
  <c r="B32" i="3"/>
  <c r="C32" i="3" s="1"/>
  <c r="L5" i="1"/>
  <c r="N5" i="1" s="1"/>
  <c r="M4" i="3"/>
  <c r="S4" i="3" s="1"/>
  <c r="R6" i="3"/>
  <c r="K7" i="3"/>
  <c r="M7" i="3" s="1"/>
  <c r="T7" i="3" s="1"/>
  <c r="S10" i="3"/>
  <c r="K13" i="3"/>
  <c r="M13" i="3" s="1"/>
  <c r="M27" i="3"/>
  <c r="N27" i="3" s="1"/>
  <c r="K27" i="3"/>
  <c r="K26" i="3"/>
  <c r="M26" i="3" s="1"/>
  <c r="S21" i="3"/>
  <c r="M20" i="3"/>
  <c r="R20" i="3" s="1"/>
  <c r="K19" i="3"/>
  <c r="M18" i="3"/>
  <c r="N18" i="3" s="1"/>
  <c r="K18" i="3"/>
  <c r="S29" i="3"/>
  <c r="M29" i="3"/>
  <c r="P6" i="3"/>
  <c r="R22" i="3"/>
  <c r="M15" i="3"/>
  <c r="M19" i="3"/>
  <c r="N22" i="3"/>
  <c r="T22" i="3"/>
  <c r="R16" i="3"/>
  <c r="T16" i="3"/>
  <c r="N16" i="3"/>
  <c r="S16" i="3"/>
  <c r="R27" i="3"/>
  <c r="S27" i="3"/>
  <c r="T20" i="3"/>
  <c r="S20" i="3"/>
  <c r="N14" i="3"/>
  <c r="T14" i="3"/>
  <c r="T17" i="3"/>
  <c r="N17" i="3"/>
  <c r="M23" i="3"/>
  <c r="S18" i="3"/>
  <c r="T24" i="3"/>
  <c r="N24" i="3"/>
  <c r="T18" i="3"/>
  <c r="N28" i="3"/>
  <c r="S28" i="3"/>
  <c r="R14" i="3"/>
  <c r="N25" i="3"/>
  <c r="N21" i="3"/>
  <c r="R18" i="3"/>
  <c r="S22" i="3"/>
  <c r="S14" i="3"/>
  <c r="R25" i="3"/>
  <c r="R21" i="3"/>
  <c r="R17" i="3"/>
  <c r="W6" i="3"/>
  <c r="M5" i="3"/>
  <c r="N7" i="3"/>
  <c r="N8" i="3"/>
  <c r="S8" i="3"/>
  <c r="N12" i="3"/>
  <c r="T12" i="3"/>
  <c r="T10" i="3"/>
  <c r="N10" i="3"/>
  <c r="R10" i="3"/>
  <c r="R12" i="3"/>
  <c r="Q6" i="3"/>
  <c r="R7" i="3"/>
  <c r="N11" i="3"/>
  <c r="S11" i="3"/>
  <c r="S6" i="3"/>
  <c r="S9" i="3"/>
  <c r="S12" i="3"/>
  <c r="R3" i="3"/>
  <c r="T4" i="3"/>
  <c r="R4" i="3"/>
  <c r="M2" i="3"/>
  <c r="T2" i="3" s="1"/>
  <c r="Q5" i="2"/>
  <c r="L5" i="2"/>
  <c r="N5" i="2" s="1"/>
  <c r="E7" i="2" s="1"/>
  <c r="Z4" i="5" l="1"/>
  <c r="AA4" i="5" s="1"/>
  <c r="AB4" i="5" s="1"/>
  <c r="T13" i="3"/>
  <c r="R13" i="3"/>
  <c r="S13" i="3"/>
  <c r="N13" i="3"/>
  <c r="S26" i="3"/>
  <c r="R26" i="3"/>
  <c r="O5" i="1"/>
  <c r="F7" i="1"/>
  <c r="E7" i="1"/>
  <c r="G7" i="1"/>
  <c r="X6" i="3"/>
  <c r="Y6" i="3" s="1"/>
  <c r="S2" i="3"/>
  <c r="T3" i="3"/>
  <c r="N3" i="3"/>
  <c r="N2" i="3"/>
  <c r="N4" i="3"/>
  <c r="S3" i="3"/>
  <c r="T11" i="3"/>
  <c r="S7" i="3"/>
  <c r="T8" i="3"/>
  <c r="T28" i="3"/>
  <c r="S24" i="3"/>
  <c r="N20" i="3"/>
  <c r="T27" i="3"/>
  <c r="R2" i="3"/>
  <c r="T9" i="3"/>
  <c r="N9" i="3"/>
  <c r="O5" i="2"/>
  <c r="G7" i="2"/>
  <c r="F7" i="2"/>
  <c r="N29" i="3"/>
  <c r="T29" i="3"/>
  <c r="R29" i="3"/>
  <c r="Q16" i="3"/>
  <c r="P16" i="3"/>
  <c r="N15" i="3"/>
  <c r="S15" i="3"/>
  <c r="T15" i="3"/>
  <c r="R15" i="3"/>
  <c r="P14" i="3"/>
  <c r="Q14" i="3"/>
  <c r="P27" i="3"/>
  <c r="Q27" i="3"/>
  <c r="N26" i="3"/>
  <c r="T26" i="3"/>
  <c r="Q28" i="3"/>
  <c r="P28" i="3"/>
  <c r="Q20" i="3"/>
  <c r="P20" i="3"/>
  <c r="W20" i="3" s="1"/>
  <c r="N19" i="3"/>
  <c r="S19" i="3"/>
  <c r="T19" i="3"/>
  <c r="R19" i="3"/>
  <c r="Q25" i="3"/>
  <c r="P25" i="3"/>
  <c r="Q22" i="3"/>
  <c r="P22" i="3"/>
  <c r="W22" i="3" s="1"/>
  <c r="P21" i="3"/>
  <c r="Q21" i="3"/>
  <c r="P17" i="3"/>
  <c r="Q17" i="3"/>
  <c r="Q24" i="3"/>
  <c r="P24" i="3"/>
  <c r="Q18" i="3"/>
  <c r="P18" i="3"/>
  <c r="W18" i="3" s="1"/>
  <c r="N23" i="3"/>
  <c r="T23" i="3"/>
  <c r="S23" i="3"/>
  <c r="R23" i="3"/>
  <c r="P8" i="3"/>
  <c r="Q8" i="3"/>
  <c r="P13" i="3"/>
  <c r="Q13" i="3"/>
  <c r="P12" i="3"/>
  <c r="Q12" i="3"/>
  <c r="N5" i="3"/>
  <c r="R5" i="3"/>
  <c r="T5" i="3"/>
  <c r="S5" i="3"/>
  <c r="P11" i="3"/>
  <c r="Q11" i="3"/>
  <c r="Q7" i="3"/>
  <c r="P7" i="3"/>
  <c r="Q10" i="3"/>
  <c r="P10" i="3"/>
  <c r="P4" i="3"/>
  <c r="Q4" i="3"/>
  <c r="C7" i="1"/>
  <c r="D7" i="1"/>
  <c r="X18" i="3" l="1"/>
  <c r="Y18" i="3" s="1"/>
  <c r="X22" i="3"/>
  <c r="Y22" i="3" s="1"/>
  <c r="X20" i="3"/>
  <c r="Y20" i="3" s="1"/>
  <c r="P9" i="3"/>
  <c r="Q9" i="3"/>
  <c r="Q2" i="3"/>
  <c r="P2" i="3"/>
  <c r="W4" i="3"/>
  <c r="W8" i="3"/>
  <c r="W21" i="3"/>
  <c r="W27" i="3"/>
  <c r="C7" i="2"/>
  <c r="A11" i="2" s="1"/>
  <c r="D7" i="2"/>
  <c r="Q3" i="3"/>
  <c r="P3" i="3"/>
  <c r="Q29" i="3"/>
  <c r="P29" i="3"/>
  <c r="W10" i="3"/>
  <c r="W11" i="3"/>
  <c r="W13" i="3"/>
  <c r="W14" i="3"/>
  <c r="W7" i="3"/>
  <c r="W16" i="3"/>
  <c r="W17" i="3"/>
  <c r="W24" i="3"/>
  <c r="W25" i="3"/>
  <c r="W28" i="3"/>
  <c r="P23" i="3"/>
  <c r="Q23" i="3"/>
  <c r="P19" i="3"/>
  <c r="W19" i="3" s="1"/>
  <c r="Q19" i="3"/>
  <c r="Q26" i="3"/>
  <c r="P26" i="3"/>
  <c r="P15" i="3"/>
  <c r="Q15" i="3"/>
  <c r="W12" i="3"/>
  <c r="P5" i="3"/>
  <c r="Q5" i="3"/>
  <c r="A11" i="1"/>
  <c r="X12" i="3" l="1"/>
  <c r="Y12" i="3" s="1"/>
  <c r="X19" i="3"/>
  <c r="Y19" i="3" s="1"/>
  <c r="X25" i="3"/>
  <c r="Y25" i="3" s="1"/>
  <c r="X17" i="3"/>
  <c r="Y17" i="3" s="1"/>
  <c r="X7" i="3"/>
  <c r="Y7" i="3" s="1"/>
  <c r="X13" i="3"/>
  <c r="Y13" i="3" s="1"/>
  <c r="X10" i="3"/>
  <c r="Y10" i="3" s="1"/>
  <c r="X21" i="3"/>
  <c r="Y21" i="3" s="1"/>
  <c r="X4" i="3"/>
  <c r="Y4" i="3" s="1"/>
  <c r="W5" i="3"/>
  <c r="X28" i="3"/>
  <c r="Y28" i="3" s="1"/>
  <c r="X24" i="3"/>
  <c r="Y24" i="3" s="1"/>
  <c r="X16" i="3"/>
  <c r="Y16" i="3" s="1"/>
  <c r="X14" i="3"/>
  <c r="Y14" i="3" s="1"/>
  <c r="X11" i="3"/>
  <c r="Y11" i="3" s="1"/>
  <c r="W3" i="3"/>
  <c r="X27" i="3"/>
  <c r="Y27" i="3" s="1"/>
  <c r="X8" i="3"/>
  <c r="Y8" i="3" s="1"/>
  <c r="W2" i="3"/>
  <c r="X2" i="3" s="1"/>
  <c r="Y2" i="3" s="1"/>
  <c r="W9" i="3"/>
  <c r="W29" i="3"/>
  <c r="W23" i="3"/>
  <c r="W26" i="3"/>
  <c r="W15" i="3"/>
  <c r="X23" i="3" l="1"/>
  <c r="Y23" i="3" s="1"/>
  <c r="X9" i="3"/>
  <c r="Y9" i="3" s="1"/>
  <c r="X3" i="3"/>
  <c r="Y3" i="3" s="1"/>
  <c r="X15" i="3"/>
  <c r="Y15" i="3" s="1"/>
  <c r="X26" i="3"/>
  <c r="Y26" i="3" s="1"/>
  <c r="X5" i="3"/>
  <c r="Y5" i="3" s="1"/>
</calcChain>
</file>

<file path=xl/sharedStrings.xml><?xml version="1.0" encoding="utf-8"?>
<sst xmlns="http://schemas.openxmlformats.org/spreadsheetml/2006/main" count="101" uniqueCount="57">
  <si>
    <t>Ymax</t>
  </si>
  <si>
    <t>Wb</t>
  </si>
  <si>
    <t>Angulo</t>
  </si>
  <si>
    <t>Eccentricity</t>
  </si>
  <si>
    <t>Hole Size ( inches )</t>
  </si>
  <si>
    <t>Drillpipe Size ( inches )</t>
  </si>
  <si>
    <t>Measured Depth ( ft )</t>
  </si>
  <si>
    <t>KOP ( ft )</t>
  </si>
  <si>
    <t>TVD ( ft )</t>
  </si>
  <si>
    <t>E</t>
  </si>
  <si>
    <t>q (lb/pie)</t>
  </si>
  <si>
    <t>Inercia</t>
  </si>
  <si>
    <t>Od</t>
  </si>
  <si>
    <t xml:space="preserve">Id </t>
  </si>
  <si>
    <t xml:space="preserve">a </t>
  </si>
  <si>
    <t>b</t>
  </si>
  <si>
    <t>c</t>
  </si>
  <si>
    <t>A</t>
  </si>
  <si>
    <t>X</t>
  </si>
  <si>
    <t>X(pies)</t>
  </si>
  <si>
    <t>Excentricidad</t>
  </si>
  <si>
    <t>X (inch)</t>
  </si>
  <si>
    <t>%</t>
  </si>
  <si>
    <t>Or</t>
  </si>
  <si>
    <t>Ir</t>
  </si>
  <si>
    <t>angulo</t>
  </si>
  <si>
    <t>excentricidad %</t>
  </si>
  <si>
    <t>excentricidad</t>
  </si>
  <si>
    <t>PREDICCION DE LA EXCENTRICIDAD</t>
  </si>
  <si>
    <t>ANGULO(GRADOS)</t>
  </si>
  <si>
    <t>ANGULO(RADIANES)</t>
  </si>
  <si>
    <t>MODULO DE ELASTICIDAD(YOUNG) PSI</t>
  </si>
  <si>
    <t>IDHOYO(INCH)</t>
  </si>
  <si>
    <t>ODTP(INCH)</t>
  </si>
  <si>
    <t>IRHOYO(INCH)</t>
  </si>
  <si>
    <t>ORTP(INCH)</t>
  </si>
  <si>
    <t>WB(LB)</t>
  </si>
  <si>
    <t>RADIO INTERNO TUBERIA PERFORACION</t>
  </si>
  <si>
    <t>INERCIA DE LA TUBERIA(INCH^4)</t>
  </si>
  <si>
    <t>X(PIES)</t>
  </si>
  <si>
    <t>X(1000INCH)</t>
  </si>
  <si>
    <t>E*I</t>
  </si>
  <si>
    <t>WBCOS(O)</t>
  </si>
  <si>
    <t>WBSENO(O)</t>
  </si>
  <si>
    <t>0,176*WBCOS(O)</t>
  </si>
  <si>
    <t>0,176*WBSENO(O)</t>
  </si>
  <si>
    <t>5,68*E*I</t>
  </si>
  <si>
    <t>peso lineal tuberia(q)(lb/pie)</t>
  </si>
  <si>
    <t>B</t>
  </si>
  <si>
    <t>C</t>
  </si>
  <si>
    <t>D</t>
  </si>
  <si>
    <t>YMAX</t>
  </si>
  <si>
    <t>e</t>
  </si>
  <si>
    <t>e(%)</t>
  </si>
  <si>
    <t>e(%)PARA WB 15klb</t>
  </si>
  <si>
    <t>ANGULOS</t>
  </si>
  <si>
    <t>e(%)PARA WB 20KLB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</si>
</sst>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horizontal="center"/>
    </xf>
    <xf numFmtId="0" fontId="0" fillId="5" borderId="0" xfId="0" applyFill="1"/>
    <xf numFmtId="0" fontId="1" fillId="6" borderId="0" xfId="0" applyFont="1" applyFill="1"/>
    <xf numFmtId="0" fontId="0" fillId="7" borderId="0" xfId="0" applyFill="1"/>
    <xf numFmtId="0" fontId="0" fillId="8" borderId="0" xfId="0" applyFill="1"/>
    <xf numFmtId="0" fontId="1" fillId="6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Hoja4!$B$1</c:f>
              <c:strCache>
                <c:ptCount val="1"/>
                <c:pt idx="0">
                  <c:v>excentricidad %</c:v>
                </c:pt>
              </c:strCache>
            </c:strRef>
          </c:tx>
          <c:spPr>
            <a:ln w="285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numFmt formatCode="General" sourceLinked="0"/>
            </c:trendlineLbl>
          </c:trendline>
          <c:xVal>
            <c:numRef>
              <c:f>Hoja4!$A$2:$A$10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50</c:v>
                </c:pt>
                <c:pt idx="8">
                  <c:v>55</c:v>
                </c:pt>
              </c:numCache>
            </c:numRef>
          </c:xVal>
          <c:yVal>
            <c:numRef>
              <c:f>Hoja4!$B$2:$B$10</c:f>
              <c:numCache>
                <c:formatCode>General</c:formatCode>
                <c:ptCount val="9"/>
                <c:pt idx="0">
                  <c:v>0</c:v>
                </c:pt>
                <c:pt idx="1">
                  <c:v>0.41860000000000003</c:v>
                </c:pt>
                <c:pt idx="2">
                  <c:v>3.3717999999999999</c:v>
                </c:pt>
                <c:pt idx="3">
                  <c:v>6.6128</c:v>
                </c:pt>
                <c:pt idx="4">
                  <c:v>11.486700000000001</c:v>
                </c:pt>
                <c:pt idx="5">
                  <c:v>18.368600000000001</c:v>
                </c:pt>
                <c:pt idx="6">
                  <c:v>27.687999999999999</c:v>
                </c:pt>
                <c:pt idx="7">
                  <c:v>55.953000000000003</c:v>
                </c:pt>
                <c:pt idx="8">
                  <c:v>76.680000000000007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Hoja4!$C$1</c:f>
              <c:strCache>
                <c:ptCount val="1"/>
                <c:pt idx="0">
                  <c:v>excentricidad</c:v>
                </c:pt>
              </c:strCache>
            </c:strRef>
          </c:tx>
          <c:spPr>
            <a:ln w="28575">
              <a:noFill/>
            </a:ln>
          </c:spPr>
          <c:trendline>
            <c:trendlineType val="exp"/>
            <c:dispRSqr val="0"/>
            <c:dispEq val="0"/>
          </c:trendline>
          <c:xVal>
            <c:numRef>
              <c:f>Hoja4!$A$2:$A$10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50</c:v>
                </c:pt>
                <c:pt idx="8">
                  <c:v>55</c:v>
                </c:pt>
              </c:numCache>
            </c:numRef>
          </c:xVal>
          <c:yVal>
            <c:numRef>
              <c:f>Hoja4!$C$2:$C$10</c:f>
              <c:numCache>
                <c:formatCode>General</c:formatCode>
                <c:ptCount val="9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07744"/>
        <c:axId val="73809280"/>
      </c:scatterChart>
      <c:valAx>
        <c:axId val="738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809280"/>
        <c:crosses val="autoZero"/>
        <c:crossBetween val="midCat"/>
      </c:valAx>
      <c:valAx>
        <c:axId val="73809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807744"/>
        <c:crosses val="autoZero"/>
        <c:crossBetween val="midCat"/>
      </c:valAx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V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Wb 15klb</c:v>
          </c:tx>
          <c:marker>
            <c:symbol val="none"/>
          </c:marker>
          <c:xVal>
            <c:numRef>
              <c:f>'MONTADA NUEVAMENTE'!$AE$4:$AE$14</c:f>
              <c:numCache>
                <c:formatCode>General</c:formatCode>
                <c:ptCount val="11"/>
                <c:pt idx="0">
                  <c:v>9.67</c:v>
                </c:pt>
                <c:pt idx="1">
                  <c:v>11.5</c:v>
                </c:pt>
                <c:pt idx="2">
                  <c:v>14.48</c:v>
                </c:pt>
                <c:pt idx="3">
                  <c:v>21.1</c:v>
                </c:pt>
                <c:pt idx="4">
                  <c:v>27.72</c:v>
                </c:pt>
                <c:pt idx="5">
                  <c:v>34.340000000000003</c:v>
                </c:pt>
                <c:pt idx="6">
                  <c:v>40.97</c:v>
                </c:pt>
                <c:pt idx="7">
                  <c:v>47.59</c:v>
                </c:pt>
                <c:pt idx="8">
                  <c:v>54.21</c:v>
                </c:pt>
                <c:pt idx="9">
                  <c:v>60.84</c:v>
                </c:pt>
                <c:pt idx="10">
                  <c:v>67.459999999999994</c:v>
                </c:pt>
              </c:numCache>
            </c:numRef>
          </c:xVal>
          <c:yVal>
            <c:numRef>
              <c:f>'MONTADA NUEVAMENTE'!$AG$4:$AG$14</c:f>
              <c:numCache>
                <c:formatCode>General</c:formatCode>
                <c:ptCount val="11"/>
                <c:pt idx="0">
                  <c:v>-3.928348993361503</c:v>
                </c:pt>
                <c:pt idx="1">
                  <c:v>-4.3872353244049469</c:v>
                </c:pt>
                <c:pt idx="2">
                  <c:v>-5.1837535502536776</c:v>
                </c:pt>
                <c:pt idx="3">
                  <c:v>-6.0313478288078253</c:v>
                </c:pt>
                <c:pt idx="4">
                  <c:v>-5.0656133224218376</c:v>
                </c:pt>
                <c:pt idx="5">
                  <c:v>-1.5120177398594792</c:v>
                </c:pt>
                <c:pt idx="6">
                  <c:v>5.7231131416136014</c:v>
                </c:pt>
                <c:pt idx="7">
                  <c:v>18.240325412691465</c:v>
                </c:pt>
                <c:pt idx="8">
                  <c:v>38.614842505105592</c:v>
                </c:pt>
                <c:pt idx="9">
                  <c:v>71.715566835908405</c:v>
                </c:pt>
                <c:pt idx="10">
                  <c:v>127.76323976182084</c:v>
                </c:pt>
              </c:numCache>
            </c:numRef>
          </c:yVal>
          <c:smooth val="1"/>
        </c:ser>
        <c:ser>
          <c:idx val="1"/>
          <c:order val="1"/>
          <c:tx>
            <c:v>Wb 20klb</c:v>
          </c:tx>
          <c:marker>
            <c:symbol val="none"/>
          </c:marker>
          <c:trendline>
            <c:trendlineType val="poly"/>
            <c:order val="6"/>
            <c:dispRSqr val="1"/>
            <c:dispEq val="1"/>
            <c:trendlineLbl>
              <c:layout/>
              <c:numFmt formatCode="#,##0.0000000000" sourceLinked="0"/>
            </c:trendlineLbl>
          </c:trendline>
          <c:xVal>
            <c:numRef>
              <c:f>'MONTADA NUEVAMENTE'!$AE$4:$AE$14</c:f>
              <c:numCache>
                <c:formatCode>General</c:formatCode>
                <c:ptCount val="11"/>
                <c:pt idx="0">
                  <c:v>9.67</c:v>
                </c:pt>
                <c:pt idx="1">
                  <c:v>11.5</c:v>
                </c:pt>
                <c:pt idx="2">
                  <c:v>14.48</c:v>
                </c:pt>
                <c:pt idx="3">
                  <c:v>21.1</c:v>
                </c:pt>
                <c:pt idx="4">
                  <c:v>27.72</c:v>
                </c:pt>
                <c:pt idx="5">
                  <c:v>34.340000000000003</c:v>
                </c:pt>
                <c:pt idx="6">
                  <c:v>40.97</c:v>
                </c:pt>
                <c:pt idx="7">
                  <c:v>47.59</c:v>
                </c:pt>
                <c:pt idx="8">
                  <c:v>54.21</c:v>
                </c:pt>
                <c:pt idx="9">
                  <c:v>60.84</c:v>
                </c:pt>
                <c:pt idx="10">
                  <c:v>67.459999999999994</c:v>
                </c:pt>
              </c:numCache>
            </c:numRef>
          </c:xVal>
          <c:yVal>
            <c:numRef>
              <c:f>'MONTADA NUEVAMENTE'!$AG$4:$AG$14</c:f>
              <c:numCache>
                <c:formatCode>General</c:formatCode>
                <c:ptCount val="11"/>
                <c:pt idx="0">
                  <c:v>-3.928348993361503</c:v>
                </c:pt>
                <c:pt idx="1">
                  <c:v>-4.3872353244049469</c:v>
                </c:pt>
                <c:pt idx="2">
                  <c:v>-5.1837535502536776</c:v>
                </c:pt>
                <c:pt idx="3">
                  <c:v>-6.0313478288078253</c:v>
                </c:pt>
                <c:pt idx="4">
                  <c:v>-5.0656133224218376</c:v>
                </c:pt>
                <c:pt idx="5">
                  <c:v>-1.5120177398594792</c:v>
                </c:pt>
                <c:pt idx="6">
                  <c:v>5.7231131416136014</c:v>
                </c:pt>
                <c:pt idx="7">
                  <c:v>18.240325412691465</c:v>
                </c:pt>
                <c:pt idx="8">
                  <c:v>38.614842505105592</c:v>
                </c:pt>
                <c:pt idx="9">
                  <c:v>71.715566835908405</c:v>
                </c:pt>
                <c:pt idx="10">
                  <c:v>127.76323976182084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745920"/>
        <c:axId val="73747456"/>
      </c:scatterChart>
      <c:valAx>
        <c:axId val="7374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747456"/>
        <c:crosses val="autoZero"/>
        <c:crossBetween val="midCat"/>
      </c:valAx>
      <c:valAx>
        <c:axId val="73747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7459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5</xdr:row>
      <xdr:rowOff>161925</xdr:rowOff>
    </xdr:from>
    <xdr:to>
      <xdr:col>11</xdr:col>
      <xdr:colOff>76200</xdr:colOff>
      <xdr:row>20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595312</xdr:colOff>
      <xdr:row>18</xdr:row>
      <xdr:rowOff>38100</xdr:rowOff>
    </xdr:from>
    <xdr:to>
      <xdr:col>39</xdr:col>
      <xdr:colOff>80962</xdr:colOff>
      <xdr:row>32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37"/>
  <sheetViews>
    <sheetView workbookViewId="0">
      <selection activeCell="D7" sqref="D7"/>
    </sheetView>
  </sheetViews>
  <sheetFormatPr baseColWidth="10" defaultRowHeight="15" x14ac:dyDescent="0.25"/>
  <cols>
    <col min="3" max="5" width="21.7109375" customWidth="1"/>
    <col min="6" max="6" width="24.42578125" customWidth="1"/>
    <col min="7" max="7" width="14.5703125" customWidth="1"/>
    <col min="8" max="8" width="24.42578125" bestFit="1" customWidth="1"/>
    <col min="11" max="11" width="14.42578125" customWidth="1"/>
    <col min="12" max="13" width="16.28515625" customWidth="1"/>
    <col min="14" max="14" width="11.85546875" bestFit="1" customWidth="1"/>
  </cols>
  <sheetData>
    <row r="4" spans="1:20" x14ac:dyDescent="0.25">
      <c r="A4" s="2" t="s">
        <v>2</v>
      </c>
      <c r="B4" s="3" t="s">
        <v>3</v>
      </c>
      <c r="C4" s="2" t="s">
        <v>4</v>
      </c>
      <c r="D4" s="2" t="s">
        <v>5</v>
      </c>
      <c r="E4" s="2" t="s">
        <v>12</v>
      </c>
      <c r="F4" s="2" t="s">
        <v>13</v>
      </c>
      <c r="G4" s="2" t="s">
        <v>6</v>
      </c>
      <c r="H4" s="2" t="s">
        <v>7</v>
      </c>
      <c r="I4" s="2" t="s">
        <v>8</v>
      </c>
      <c r="J4" s="2" t="s">
        <v>9</v>
      </c>
      <c r="K4" s="1" t="s">
        <v>10</v>
      </c>
      <c r="L4" s="2" t="s">
        <v>11</v>
      </c>
      <c r="M4" s="2" t="s">
        <v>1</v>
      </c>
      <c r="N4" s="2" t="s">
        <v>14</v>
      </c>
      <c r="O4" s="2" t="s">
        <v>15</v>
      </c>
      <c r="P4" s="2" t="s">
        <v>16</v>
      </c>
      <c r="Q4" s="2" t="s">
        <v>0</v>
      </c>
      <c r="R4" s="2"/>
      <c r="S4" s="2"/>
      <c r="T4" s="2"/>
    </row>
    <row r="5" spans="1:20" x14ac:dyDescent="0.25">
      <c r="A5" s="1">
        <v>10</v>
      </c>
      <c r="B5">
        <v>3.4380000000000001E-3</v>
      </c>
      <c r="C5" s="1">
        <f>12.25/2</f>
        <v>6.125</v>
      </c>
      <c r="D5" s="1">
        <v>5</v>
      </c>
      <c r="E5" s="1">
        <f>5/2</f>
        <v>2.5</v>
      </c>
      <c r="F5" s="1">
        <f>4.28/2</f>
        <v>2.14</v>
      </c>
      <c r="G5" s="1">
        <v>8000</v>
      </c>
      <c r="H5" s="1">
        <v>2000</v>
      </c>
      <c r="I5" s="1">
        <v>7100</v>
      </c>
      <c r="J5" s="1">
        <f>30*POWER(10,6)</f>
        <v>30000000</v>
      </c>
      <c r="K5" s="1">
        <v>19.5</v>
      </c>
      <c r="L5">
        <f>(3.1416/4)*(POWER((E5),4)-POWER((F5),4))</f>
        <v>14.207700519935999</v>
      </c>
      <c r="M5" s="1">
        <v>30000</v>
      </c>
      <c r="N5">
        <f>J5*L5</f>
        <v>426231015.59807998</v>
      </c>
      <c r="O5">
        <f>5.68*N5</f>
        <v>2420992168.5970941</v>
      </c>
      <c r="P5">
        <f>M5*COS(RADIANS(A5))</f>
        <v>29544.232590366242</v>
      </c>
      <c r="Q5">
        <f>B5*(POWER(C5,2)-POWER(E5,2))</f>
        <v>0.10749121875000001</v>
      </c>
    </row>
    <row r="6" spans="1:20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20" x14ac:dyDescent="0.25">
      <c r="B7" s="1"/>
      <c r="C7">
        <f>O5/P5</f>
        <v>81944.662505348984</v>
      </c>
      <c r="D7">
        <f>(0.176*M5*SIN(RADIANS(A5))*POWER(O5,(1/2)))/(N5*POWER(P5,(1/2)))</f>
        <v>6.1577129399732798E-4</v>
      </c>
      <c r="E7">
        <f>(POWER(0.176*P5,(1/2)))/(2*POWER(N5,(1/2)))</f>
        <v>1.7463857164167005E-3</v>
      </c>
      <c r="F7">
        <f>(POWER(0.176*P5,(1/2)))/(POWER(N5,(1/2)))</f>
        <v>3.492771432833401E-3</v>
      </c>
      <c r="G7" s="1">
        <f>0.5*K5*SIN(RADIANS(A5))/(4*N5)</f>
        <v>9.9304700402719672E-10</v>
      </c>
      <c r="H7" s="1"/>
      <c r="I7" s="1"/>
      <c r="J7" s="1"/>
      <c r="K7" s="1"/>
    </row>
    <row r="8" spans="1:20" x14ac:dyDescent="0.25">
      <c r="B8" s="1"/>
      <c r="C8" s="1"/>
      <c r="E8" s="1"/>
      <c r="F8" s="1"/>
      <c r="G8" s="1"/>
      <c r="H8" s="1"/>
      <c r="I8" s="1"/>
      <c r="J8" s="1"/>
      <c r="K8" s="1"/>
    </row>
    <row r="9" spans="1:20" x14ac:dyDescent="0.25">
      <c r="B9" s="1"/>
      <c r="C9" s="1"/>
      <c r="D9" s="1"/>
      <c r="E9" s="1"/>
      <c r="F9" s="1"/>
      <c r="G9" s="1"/>
      <c r="H9" s="1"/>
      <c r="I9" s="1"/>
      <c r="J9" s="1"/>
      <c r="K9" s="1"/>
    </row>
    <row r="10" spans="1:20" x14ac:dyDescent="0.25">
      <c r="A10" t="s">
        <v>0</v>
      </c>
      <c r="B10" s="1"/>
      <c r="C10" s="1"/>
      <c r="D10" s="1" t="s">
        <v>18</v>
      </c>
      <c r="E10" s="1" t="s">
        <v>19</v>
      </c>
      <c r="F10" s="1"/>
      <c r="G10" s="1"/>
      <c r="H10" s="1"/>
      <c r="I10" s="1"/>
      <c r="J10" s="1"/>
      <c r="K10" s="1"/>
    </row>
    <row r="11" spans="1:20" x14ac:dyDescent="0.25">
      <c r="A11">
        <f>C7*((D7*(SINH((E7*D11))-F7))+(G7*POWER(D11,2)))</f>
        <v>0.10752418382422811</v>
      </c>
      <c r="B11" s="1"/>
      <c r="C11" s="1"/>
      <c r="D11" s="1">
        <v>3.2106496139040126</v>
      </c>
      <c r="E11" s="1">
        <f>D11*1000/12</f>
        <v>267.55413449200108</v>
      </c>
      <c r="F11" s="1"/>
      <c r="G11" s="1"/>
      <c r="H11" s="1"/>
      <c r="I11" s="1"/>
      <c r="J11" s="1"/>
      <c r="K11" s="1"/>
    </row>
    <row r="12" spans="1:20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0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0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20" x14ac:dyDescent="0.25">
      <c r="A15" t="s">
        <v>0</v>
      </c>
      <c r="B15" s="1" t="s">
        <v>17</v>
      </c>
      <c r="C15" s="1"/>
      <c r="D15" s="1"/>
      <c r="E15" s="1"/>
      <c r="F15" s="1"/>
      <c r="G15" s="1"/>
      <c r="H15" s="1"/>
      <c r="I15" s="1"/>
      <c r="J15" s="1"/>
      <c r="K15" s="1"/>
    </row>
    <row r="16" spans="1:20" x14ac:dyDescent="0.25">
      <c r="A16">
        <f>30*SIN(RADIANS(B16+2))</f>
        <v>0.79999204189580864</v>
      </c>
      <c r="B16" s="1">
        <v>-0.4719466096555508</v>
      </c>
      <c r="C16" s="1"/>
      <c r="D16" s="1"/>
      <c r="E16" s="1"/>
      <c r="F16" s="1"/>
      <c r="G16" s="1"/>
      <c r="H16" s="1"/>
      <c r="I16" s="1"/>
      <c r="J16" s="1"/>
      <c r="K16" s="1"/>
    </row>
    <row r="17" spans="2:13" x14ac:dyDescent="0.25">
      <c r="B17" s="1"/>
      <c r="C17" s="1"/>
      <c r="D17" s="1"/>
      <c r="E17" s="1"/>
      <c r="F17" s="1"/>
      <c r="G17" s="1">
        <f>SIN(90)</f>
        <v>0.89399666360055785</v>
      </c>
      <c r="H17" s="1">
        <f>SINH(90)</f>
        <v>6.1020164715892042E+38</v>
      </c>
      <c r="I17" s="1"/>
      <c r="J17" s="1"/>
      <c r="K17" s="1"/>
    </row>
    <row r="18" spans="2:13" x14ac:dyDescent="0.25">
      <c r="G18">
        <f>SIN(RADIANS(90))</f>
        <v>1</v>
      </c>
      <c r="H18">
        <f>SINH(RADIANS(90))</f>
        <v>2.3012989023072947</v>
      </c>
    </row>
    <row r="19" spans="2:1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2:13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2:13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3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8"/>
  <sheetViews>
    <sheetView workbookViewId="0">
      <selection activeCell="H18" sqref="H18"/>
    </sheetView>
  </sheetViews>
  <sheetFormatPr baseColWidth="10" defaultRowHeight="15" x14ac:dyDescent="0.25"/>
  <cols>
    <col min="3" max="3" width="17.7109375" bestFit="1" customWidth="1"/>
    <col min="4" max="4" width="21.42578125" bestFit="1" customWidth="1"/>
    <col min="5" max="5" width="10" customWidth="1"/>
    <col min="7" max="7" width="20" bestFit="1" customWidth="1"/>
    <col min="8" max="8" width="12" bestFit="1" customWidth="1"/>
  </cols>
  <sheetData>
    <row r="4" spans="1:17" x14ac:dyDescent="0.25">
      <c r="A4" s="2" t="s">
        <v>2</v>
      </c>
      <c r="B4" s="3" t="s">
        <v>3</v>
      </c>
      <c r="C4" s="2" t="s">
        <v>4</v>
      </c>
      <c r="D4" s="2" t="s">
        <v>5</v>
      </c>
      <c r="E4" s="2" t="s">
        <v>12</v>
      </c>
      <c r="F4" s="2" t="s">
        <v>13</v>
      </c>
      <c r="G4" s="2" t="s">
        <v>6</v>
      </c>
      <c r="H4" s="2" t="s">
        <v>7</v>
      </c>
      <c r="I4" s="2" t="s">
        <v>8</v>
      </c>
      <c r="J4" s="2" t="s">
        <v>9</v>
      </c>
      <c r="K4" s="1" t="s">
        <v>10</v>
      </c>
      <c r="L4" s="2" t="s">
        <v>11</v>
      </c>
      <c r="M4" s="2" t="s">
        <v>1</v>
      </c>
      <c r="N4" s="2" t="s">
        <v>14</v>
      </c>
      <c r="O4" s="2" t="s">
        <v>15</v>
      </c>
      <c r="P4" s="2" t="s">
        <v>16</v>
      </c>
      <c r="Q4" s="2" t="s">
        <v>0</v>
      </c>
    </row>
    <row r="5" spans="1:17" x14ac:dyDescent="0.25">
      <c r="A5" s="1">
        <v>10</v>
      </c>
      <c r="B5">
        <v>3.4380000000000001E-3</v>
      </c>
      <c r="C5" s="1">
        <f>12.25/2</f>
        <v>6.125</v>
      </c>
      <c r="D5" s="1">
        <v>5</v>
      </c>
      <c r="E5" s="1">
        <f>5/2</f>
        <v>2.5</v>
      </c>
      <c r="F5" s="1">
        <f>4.28/2</f>
        <v>2.14</v>
      </c>
      <c r="G5" s="1">
        <v>8000</v>
      </c>
      <c r="H5" s="1">
        <v>2000</v>
      </c>
      <c r="I5" s="1">
        <v>7100</v>
      </c>
      <c r="J5" s="1">
        <f>30*POWER(10,6)</f>
        <v>30000000</v>
      </c>
      <c r="K5" s="1">
        <v>19.5</v>
      </c>
      <c r="L5">
        <f>(3.1416/4)*(POWER((E5),4)-POWER((F5),4))</f>
        <v>14.207700519935999</v>
      </c>
      <c r="M5" s="1">
        <v>30000</v>
      </c>
      <c r="N5">
        <f>J5*L5</f>
        <v>426231015.59807998</v>
      </c>
      <c r="O5">
        <f>5.68*N5</f>
        <v>2420992168.5970941</v>
      </c>
      <c r="P5">
        <f>M5*COS(RADIANS(A5))</f>
        <v>29544.232590366242</v>
      </c>
      <c r="Q5">
        <f>B5*(POWER(C5,2)-POWER(E5,2))</f>
        <v>0.10749121875000001</v>
      </c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x14ac:dyDescent="0.25">
      <c r="B7" s="1"/>
      <c r="C7">
        <f>O5/P5</f>
        <v>81944.662505348984</v>
      </c>
      <c r="D7">
        <f>(0.176*M5*SIN(RADIANS(A5))*POWER(O5,(1/2)))/(N5*POWER(P5,(1/2)))</f>
        <v>6.1577129399732798E-4</v>
      </c>
      <c r="E7">
        <f>(POWER(0.176*P5,(1/2)))/(2*POWER(N5,(1/2)))</f>
        <v>1.7463857164167005E-3</v>
      </c>
      <c r="F7">
        <f>(POWER(0.176*P5,(1/2)))/(POWER(N5,(1/2)))</f>
        <v>3.492771432833401E-3</v>
      </c>
      <c r="G7" s="1">
        <f>0.5*K5*SIN(RADIANS(A5))/(4*N5)</f>
        <v>9.9304700402719672E-10</v>
      </c>
      <c r="H7" s="1"/>
      <c r="I7" s="1"/>
      <c r="J7" s="1"/>
      <c r="K7" s="1"/>
    </row>
    <row r="8" spans="1:17" x14ac:dyDescent="0.25">
      <c r="B8" s="1"/>
      <c r="C8" s="1"/>
      <c r="E8" s="1"/>
      <c r="F8" s="1"/>
      <c r="G8" s="1"/>
      <c r="H8" s="1"/>
      <c r="I8" s="1"/>
      <c r="J8" s="1"/>
      <c r="K8" s="1"/>
    </row>
    <row r="9" spans="1:17" x14ac:dyDescent="0.25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7" x14ac:dyDescent="0.25">
      <c r="A10" t="s">
        <v>0</v>
      </c>
      <c r="B10" s="1"/>
      <c r="C10" s="1"/>
      <c r="D10" s="1" t="s">
        <v>18</v>
      </c>
      <c r="E10" s="1" t="s">
        <v>19</v>
      </c>
      <c r="F10" s="1"/>
      <c r="G10" s="1"/>
      <c r="H10" s="1"/>
      <c r="I10" s="1"/>
      <c r="J10" s="1"/>
      <c r="K10" s="1"/>
    </row>
    <row r="11" spans="1:17" x14ac:dyDescent="0.25">
      <c r="A11">
        <f>C7*((D7*(SINH((E7*D11))-F7))+(G7*POWER(D11,2)))</f>
        <v>0.10752418382422811</v>
      </c>
      <c r="B11" s="1"/>
      <c r="C11" s="1"/>
      <c r="D11" s="1">
        <v>3.2106496139040126</v>
      </c>
      <c r="E11" s="1">
        <f>D11*1000/12</f>
        <v>267.55413449200108</v>
      </c>
      <c r="F11" s="1"/>
      <c r="G11" s="1"/>
      <c r="H11" s="1"/>
      <c r="I11" s="1"/>
      <c r="J11" s="1"/>
      <c r="K11" s="1"/>
    </row>
    <row r="12" spans="1:17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7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7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7" x14ac:dyDescent="0.25">
      <c r="A15" t="s">
        <v>0</v>
      </c>
      <c r="B15" s="1" t="s">
        <v>17</v>
      </c>
      <c r="C15" s="1"/>
      <c r="D15" s="1"/>
      <c r="E15" s="1"/>
      <c r="F15" s="1"/>
      <c r="G15" s="1"/>
      <c r="H15" s="1"/>
      <c r="I15" s="1"/>
      <c r="J15" s="1"/>
      <c r="K15" s="1"/>
    </row>
    <row r="16" spans="1:17" x14ac:dyDescent="0.25">
      <c r="A16">
        <f>30*SIN(RADIANS(B16+2))</f>
        <v>0.79999204189580864</v>
      </c>
      <c r="B16" s="1">
        <v>-0.4719466096555508</v>
      </c>
      <c r="C16" s="1"/>
      <c r="D16" s="1"/>
      <c r="E16" s="1"/>
      <c r="F16" s="1"/>
      <c r="G16" s="1"/>
      <c r="H16" s="1"/>
      <c r="I16" s="1"/>
      <c r="J16" s="1"/>
      <c r="K16" s="1"/>
    </row>
    <row r="17" spans="2:11" x14ac:dyDescent="0.25">
      <c r="B17" s="1"/>
      <c r="C17" s="1"/>
      <c r="D17" s="1"/>
      <c r="E17" s="1"/>
      <c r="F17" s="1"/>
      <c r="G17" s="1">
        <f>SIN(90)</f>
        <v>0.89399666360055785</v>
      </c>
      <c r="H17" s="1">
        <f>SINH(90)</f>
        <v>6.1020164715892042E+38</v>
      </c>
      <c r="I17" s="1"/>
      <c r="J17" s="1"/>
      <c r="K17" s="1"/>
    </row>
    <row r="18" spans="2:11" x14ac:dyDescent="0.25">
      <c r="G18">
        <f>SIN(RADIANS(90))</f>
        <v>1</v>
      </c>
      <c r="H18">
        <f>SINH(RADIANS(90))</f>
        <v>2.3012989023072947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topLeftCell="H1" zoomScale="85" zoomScaleNormal="85" workbookViewId="0">
      <selection activeCell="W19" sqref="W19"/>
    </sheetView>
  </sheetViews>
  <sheetFormatPr baseColWidth="10" defaultRowHeight="15" x14ac:dyDescent="0.25"/>
  <cols>
    <col min="2" max="2" width="17.7109375" bestFit="1" customWidth="1"/>
    <col min="3" max="3" width="21.42578125" bestFit="1" customWidth="1"/>
    <col min="4" max="4" width="12" bestFit="1" customWidth="1"/>
    <col min="6" max="6" width="13.140625" bestFit="1" customWidth="1"/>
    <col min="9" max="9" width="11.42578125" style="7"/>
    <col min="11" max="11" width="11.42578125" style="5"/>
    <col min="13" max="13" width="11.5703125" bestFit="1" customWidth="1"/>
    <col min="14" max="14" width="12.28515625" bestFit="1" customWidth="1"/>
    <col min="15" max="15" width="11.5703125" style="9" bestFit="1" customWidth="1"/>
    <col min="16" max="19" width="11.5703125" bestFit="1" customWidth="1"/>
    <col min="20" max="20" width="13.28515625" bestFit="1" customWidth="1"/>
    <col min="21" max="21" width="13.140625" customWidth="1"/>
  </cols>
  <sheetData>
    <row r="1" spans="1:25" x14ac:dyDescent="0.25">
      <c r="A1" s="2" t="s">
        <v>2</v>
      </c>
      <c r="B1" s="2" t="s">
        <v>4</v>
      </c>
      <c r="C1" s="2" t="s">
        <v>5</v>
      </c>
      <c r="D1" s="2" t="s">
        <v>23</v>
      </c>
      <c r="E1" s="2" t="s">
        <v>24</v>
      </c>
      <c r="F1" s="2" t="s">
        <v>6</v>
      </c>
      <c r="G1" s="2" t="s">
        <v>7</v>
      </c>
      <c r="H1" s="2" t="s">
        <v>8</v>
      </c>
      <c r="I1" s="6" t="s">
        <v>9</v>
      </c>
      <c r="J1" s="1" t="s">
        <v>10</v>
      </c>
      <c r="K1" s="4" t="s">
        <v>11</v>
      </c>
      <c r="L1" s="2" t="s">
        <v>1</v>
      </c>
      <c r="M1" s="2" t="s">
        <v>14</v>
      </c>
      <c r="N1" s="2" t="s">
        <v>15</v>
      </c>
      <c r="O1" s="8" t="s">
        <v>16</v>
      </c>
      <c r="U1" t="s">
        <v>21</v>
      </c>
      <c r="V1" t="s">
        <v>19</v>
      </c>
      <c r="W1" t="s">
        <v>0</v>
      </c>
      <c r="X1" t="s">
        <v>20</v>
      </c>
      <c r="Y1" t="s">
        <v>22</v>
      </c>
    </row>
    <row r="2" spans="1:25" x14ac:dyDescent="0.25">
      <c r="A2" s="1">
        <v>9.67</v>
      </c>
      <c r="B2" s="1">
        <f>12.25/2</f>
        <v>6.125</v>
      </c>
      <c r="C2" s="1">
        <v>5</v>
      </c>
      <c r="D2" s="1">
        <f>5/2</f>
        <v>2.5</v>
      </c>
      <c r="E2" s="1">
        <f>4.28/2</f>
        <v>2.14</v>
      </c>
      <c r="F2" s="1">
        <v>7216</v>
      </c>
      <c r="G2" s="1">
        <v>120</v>
      </c>
      <c r="H2" s="1">
        <v>1390</v>
      </c>
      <c r="I2" s="6">
        <f>30*POWER(10,6)</f>
        <v>30000000</v>
      </c>
      <c r="J2" s="1">
        <v>19.5</v>
      </c>
      <c r="K2" s="5">
        <f>(3.1416/4)*(POWER((D2),4)-POWER((E2),4))</f>
        <v>14.207700519935999</v>
      </c>
      <c r="L2" s="1">
        <v>15000</v>
      </c>
      <c r="M2">
        <f>I2*K2</f>
        <v>426231015.59807998</v>
      </c>
      <c r="N2">
        <f>5.68*M2</f>
        <v>2420992168.5970941</v>
      </c>
      <c r="O2" s="9">
        <f>L2*COS(RADIANS(A2))</f>
        <v>14786.873321993487</v>
      </c>
      <c r="P2">
        <f>$N$2/$O$2</f>
        <v>163725.7664875098</v>
      </c>
      <c r="Q2">
        <f>(0.176*$L$2*SIN(RADIANS($A$2))*POWER($N$2,(1/2)))/($M$2*POWER($O$2,(1/2)))</f>
        <v>4.2097615982112773E-4</v>
      </c>
      <c r="R2">
        <f>(POWER(0.176*$O$2,(1/2)))/(2*POWER($M$2,(1/2)))</f>
        <v>1.2354978385629707E-3</v>
      </c>
      <c r="S2">
        <f>(POWER(0.176*$O$2,(1/2)))/(POWER($M$2,(1/2)))</f>
        <v>2.4709956771259414E-3</v>
      </c>
      <c r="T2" s="1">
        <f>0.5*$J$2*SIN(RADIANS($A$2))/(4*$M$2)</f>
        <v>9.6059358825067157E-10</v>
      </c>
      <c r="U2" s="1">
        <f>V2*12/1000</f>
        <v>0.3276</v>
      </c>
      <c r="V2">
        <v>27.3</v>
      </c>
      <c r="W2">
        <f>P2*((Q2*(SINH((R2*U2))-S2))+(T2*POWER(U2,2)))</f>
        <v>-0.14239843153474019</v>
      </c>
      <c r="X2">
        <f>W2/(B2-D2)</f>
        <v>-3.9282325940617986E-2</v>
      </c>
      <c r="Y2">
        <f>X2*100</f>
        <v>-3.9282325940617988</v>
      </c>
    </row>
    <row r="3" spans="1:25" x14ac:dyDescent="0.25">
      <c r="A3" s="1">
        <v>11.5</v>
      </c>
      <c r="B3" s="1">
        <f>12.25/2</f>
        <v>6.125</v>
      </c>
      <c r="C3" s="1">
        <v>5</v>
      </c>
      <c r="D3" s="1">
        <f>5/2</f>
        <v>2.5</v>
      </c>
      <c r="E3" s="1">
        <f>4.28/2</f>
        <v>2.14</v>
      </c>
      <c r="F3" s="1">
        <v>7216</v>
      </c>
      <c r="G3" s="1">
        <v>120</v>
      </c>
      <c r="H3" s="1">
        <v>1390</v>
      </c>
      <c r="I3" s="6">
        <f>30*POWER(10,6)</f>
        <v>30000000</v>
      </c>
      <c r="J3" s="1">
        <v>19.5</v>
      </c>
      <c r="K3" s="5">
        <f>(3.1416/4)*(POWER((D3),4)-POWER((E3),4))</f>
        <v>14.207700519935999</v>
      </c>
      <c r="L3" s="1">
        <v>15000</v>
      </c>
      <c r="M3">
        <f>I3*K3</f>
        <v>426231015.59807998</v>
      </c>
      <c r="N3">
        <f>5.68*M3</f>
        <v>2420992168.5970941</v>
      </c>
      <c r="O3" s="9">
        <f>L3*COS(RADIANS(A3))</f>
        <v>14698.870569312443</v>
      </c>
      <c r="P3">
        <f>N3/O3</f>
        <v>164705.9994970987</v>
      </c>
      <c r="Q3">
        <f>(0.176*L3*SIN(RADIANS(A3))*POWER(N3,(1/2)))/(M3*POWER(O3,(1/2)))</f>
        <v>5.0115134091872221E-4</v>
      </c>
      <c r="R3">
        <f>(POWER(0.176*O3,(1/2)))/(2*POWER(M3,(1/2)))</f>
        <v>1.2318158747834419E-3</v>
      </c>
      <c r="S3">
        <f>(POWER(0.176*O3,(1/2)))/(POWER(M3,(1/2)))</f>
        <v>2.4636317495668838E-3</v>
      </c>
      <c r="T3" s="1">
        <f>0.5*J3*SIN(RADIANS(A3))/(4*M3)</f>
        <v>1.1401313427649755E-9</v>
      </c>
      <c r="U3" s="1">
        <f>V3*12/1000</f>
        <v>0.43559999999999999</v>
      </c>
      <c r="V3">
        <v>36.299999999999997</v>
      </c>
      <c r="W3">
        <f>P3*((Q3*(SINH((R3*U3))-S3))+(T3*POWER(U3,2)))</f>
        <v>-0.15902837322128818</v>
      </c>
      <c r="X3">
        <f t="shared" ref="X3:X28" si="0">W3/(B3-D3)</f>
        <v>-4.3869896061045015E-2</v>
      </c>
      <c r="Y3">
        <f t="shared" ref="Y3:Y28" si="1">X3*100</f>
        <v>-4.3869896061045015</v>
      </c>
    </row>
    <row r="4" spans="1:25" x14ac:dyDescent="0.25">
      <c r="A4" s="1">
        <v>14.48</v>
      </c>
      <c r="B4" s="1">
        <f>12.25/2</f>
        <v>6.125</v>
      </c>
      <c r="C4" s="1">
        <v>5</v>
      </c>
      <c r="D4" s="1">
        <f>5/2</f>
        <v>2.5</v>
      </c>
      <c r="E4" s="1">
        <f>4.28/2</f>
        <v>2.14</v>
      </c>
      <c r="F4" s="1">
        <v>7216</v>
      </c>
      <c r="G4" s="1">
        <v>120</v>
      </c>
      <c r="H4" s="1">
        <v>1390</v>
      </c>
      <c r="I4" s="6">
        <f>30*POWER(10,6)</f>
        <v>30000000</v>
      </c>
      <c r="J4" s="1">
        <v>19.5</v>
      </c>
      <c r="K4" s="5">
        <f>(3.1416/4)*(POWER((D4),4)-POWER((E4),4))</f>
        <v>14.207700519935999</v>
      </c>
      <c r="L4" s="1">
        <v>15000</v>
      </c>
      <c r="M4">
        <f>I4*K4</f>
        <v>426231015.59807998</v>
      </c>
      <c r="N4">
        <f>5.68*M4</f>
        <v>2420992168.5970941</v>
      </c>
      <c r="O4" s="9">
        <f>L4*COS(RADIANS(A4))</f>
        <v>14523.524707536666</v>
      </c>
      <c r="P4">
        <f>N4/O4</f>
        <v>166694.53299726706</v>
      </c>
      <c r="Q4">
        <f>(0.176*L4*SIN(RADIANS(A4))*POWER(N4,(1/2)))/(M4*POWER(O4,(1/2)))</f>
        <v>6.3231370138218434E-4</v>
      </c>
      <c r="R4">
        <f>(POWER(0.176*O4,(1/2)))/(2*POWER(M4,(1/2)))</f>
        <v>1.2244465383151487E-3</v>
      </c>
      <c r="S4">
        <f>(POWER(0.176*O4,(1/2)))/(POWER(M4,(1/2)))</f>
        <v>2.4488930766302973E-3</v>
      </c>
      <c r="T4" s="1">
        <f>0.5*J4*SIN(RADIANS(A4))/(4*M4)</f>
        <v>1.4299228679288025E-9</v>
      </c>
      <c r="U4" s="1">
        <f t="shared" ref="U4:U29" si="2">V4*12/1000</f>
        <v>0.54359999999999986</v>
      </c>
      <c r="V4">
        <v>45.3</v>
      </c>
      <c r="W4">
        <f t="shared" ref="W4:W13" si="3">P4*((Q4*(SINH((R4*U4))-S4))+(T4*POWER(U4,2)))</f>
        <v>-0.18789345899730805</v>
      </c>
      <c r="X4">
        <f t="shared" si="0"/>
        <v>-5.1832678344084983E-2</v>
      </c>
      <c r="Y4">
        <f t="shared" si="1"/>
        <v>-5.1832678344084986</v>
      </c>
    </row>
    <row r="5" spans="1:25" x14ac:dyDescent="0.25">
      <c r="A5" s="1">
        <v>21.1</v>
      </c>
      <c r="B5" s="1">
        <f t="shared" ref="B5:B29" si="4">12.25/2</f>
        <v>6.125</v>
      </c>
      <c r="C5" s="1">
        <v>5</v>
      </c>
      <c r="D5" s="1">
        <f t="shared" ref="D5:D29" si="5">5/2</f>
        <v>2.5</v>
      </c>
      <c r="E5" s="1">
        <f t="shared" ref="E5:E29" si="6">4.28/2</f>
        <v>2.14</v>
      </c>
      <c r="F5" s="1">
        <v>7216</v>
      </c>
      <c r="G5" s="1">
        <v>120</v>
      </c>
      <c r="H5" s="1">
        <v>1390</v>
      </c>
      <c r="I5" s="6">
        <f t="shared" ref="I5:I29" si="7">30*POWER(10,6)</f>
        <v>30000000</v>
      </c>
      <c r="J5" s="1">
        <v>19.5</v>
      </c>
      <c r="K5" s="5">
        <f t="shared" ref="K5:K13" si="8">(3.1416/4)*(POWER((D5),4)-POWER((E5),4))</f>
        <v>14.207700519935999</v>
      </c>
      <c r="L5" s="1">
        <v>15000</v>
      </c>
      <c r="M5">
        <f t="shared" ref="M5:M13" si="9">I5*K5</f>
        <v>426231015.59807998</v>
      </c>
      <c r="N5">
        <f t="shared" ref="N5:N29" si="10">5.68*M5</f>
        <v>2420992168.5970941</v>
      </c>
      <c r="O5" s="9">
        <f t="shared" ref="O5:O13" si="11">L5*COS(RADIANS(A5))</f>
        <v>13994.303022382335</v>
      </c>
      <c r="P5">
        <f t="shared" ref="P5:P13" si="12">N5/O5</f>
        <v>172998.4097618142</v>
      </c>
      <c r="Q5">
        <f t="shared" ref="Q5:Q13" si="13">(0.176*L5*SIN(RADIANS(A5))*POWER(N5,(1/2)))/(M5*POWER(O5,(1/2)))</f>
        <v>9.274245407324839E-4</v>
      </c>
      <c r="R5">
        <f t="shared" ref="R5:R13" si="14">(POWER(0.176*O5,(1/2)))/(2*POWER(M5,(1/2)))</f>
        <v>1.2019307620451068E-3</v>
      </c>
      <c r="S5">
        <f t="shared" ref="S5:S13" si="15">(POWER(0.176*O5,(1/2)))/(POWER(M5,(1/2)))</f>
        <v>2.4038615240902137E-3</v>
      </c>
      <c r="T5" s="1">
        <f t="shared" ref="T5:T13" si="16">0.5*J5*SIN(RADIANS(A5))/(4*M5)</f>
        <v>2.0587244655608719E-9</v>
      </c>
      <c r="U5" s="1">
        <f t="shared" si="2"/>
        <v>0.86519999999999997</v>
      </c>
      <c r="V5">
        <v>72.099999999999994</v>
      </c>
      <c r="W5">
        <f t="shared" si="3"/>
        <v>-0.2185697167904517</v>
      </c>
      <c r="X5">
        <f t="shared" si="0"/>
        <v>-6.0295094287021157E-2</v>
      </c>
      <c r="Y5">
        <f t="shared" si="1"/>
        <v>-6.0295094287021156</v>
      </c>
    </row>
    <row r="6" spans="1:25" x14ac:dyDescent="0.25">
      <c r="A6" s="1">
        <v>27.72</v>
      </c>
      <c r="B6" s="1">
        <f t="shared" si="4"/>
        <v>6.125</v>
      </c>
      <c r="C6" s="1">
        <v>5</v>
      </c>
      <c r="D6" s="1">
        <f t="shared" si="5"/>
        <v>2.5</v>
      </c>
      <c r="E6" s="1">
        <f t="shared" si="6"/>
        <v>2.14</v>
      </c>
      <c r="F6" s="1">
        <v>7216</v>
      </c>
      <c r="G6" s="1">
        <v>120</v>
      </c>
      <c r="H6" s="1">
        <v>1390</v>
      </c>
      <c r="I6" s="6">
        <f t="shared" si="7"/>
        <v>30000000</v>
      </c>
      <c r="J6" s="1">
        <v>19.5</v>
      </c>
      <c r="K6" s="5">
        <f t="shared" si="8"/>
        <v>14.207700519935999</v>
      </c>
      <c r="L6" s="1">
        <v>15000</v>
      </c>
      <c r="M6">
        <f t="shared" si="9"/>
        <v>426231015.59807998</v>
      </c>
      <c r="N6">
        <f t="shared" si="10"/>
        <v>2420992168.5970941</v>
      </c>
      <c r="O6" s="9">
        <f t="shared" si="11"/>
        <v>13278.469669986829</v>
      </c>
      <c r="P6">
        <f t="shared" si="12"/>
        <v>182324.63745948335</v>
      </c>
      <c r="Q6">
        <f t="shared" si="13"/>
        <v>1.2301996218180926E-3</v>
      </c>
      <c r="R6">
        <f t="shared" si="14"/>
        <v>1.1707868253789573E-3</v>
      </c>
      <c r="S6">
        <f t="shared" si="15"/>
        <v>2.3415736507579146E-3</v>
      </c>
      <c r="T6" s="1">
        <f t="shared" si="16"/>
        <v>2.6600733201521431E-9</v>
      </c>
      <c r="U6" s="1">
        <f t="shared" si="2"/>
        <v>1.2984</v>
      </c>
      <c r="V6">
        <v>108.2</v>
      </c>
      <c r="W6">
        <f t="shared" si="3"/>
        <v>-0.18342411960589011</v>
      </c>
      <c r="X6">
        <f t="shared" si="0"/>
        <v>-5.0599757132659344E-2</v>
      </c>
      <c r="Y6">
        <f t="shared" si="1"/>
        <v>-5.059975713265934</v>
      </c>
    </row>
    <row r="7" spans="1:25" x14ac:dyDescent="0.25">
      <c r="A7" s="1">
        <v>34.340000000000003</v>
      </c>
      <c r="B7" s="1">
        <f t="shared" si="4"/>
        <v>6.125</v>
      </c>
      <c r="C7" s="1">
        <v>5</v>
      </c>
      <c r="D7" s="1">
        <f t="shared" si="5"/>
        <v>2.5</v>
      </c>
      <c r="E7" s="1">
        <f t="shared" si="6"/>
        <v>2.14</v>
      </c>
      <c r="F7" s="1">
        <v>7216</v>
      </c>
      <c r="G7" s="1">
        <v>120</v>
      </c>
      <c r="H7" s="1">
        <v>1390</v>
      </c>
      <c r="I7" s="6">
        <f t="shared" si="7"/>
        <v>30000000</v>
      </c>
      <c r="J7" s="1">
        <v>19.5</v>
      </c>
      <c r="K7" s="5">
        <f t="shared" si="8"/>
        <v>14.207700519935999</v>
      </c>
      <c r="L7" s="1">
        <v>15000</v>
      </c>
      <c r="M7">
        <f t="shared" si="9"/>
        <v>426231015.59807998</v>
      </c>
      <c r="N7">
        <f t="shared" si="10"/>
        <v>2420992168.5970941</v>
      </c>
      <c r="O7" s="9">
        <f t="shared" si="11"/>
        <v>12385.570167203945</v>
      </c>
      <c r="P7">
        <f t="shared" si="12"/>
        <v>195468.77018287769</v>
      </c>
      <c r="Q7">
        <f t="shared" si="13"/>
        <v>1.5447410873610709E-3</v>
      </c>
      <c r="R7">
        <f t="shared" si="14"/>
        <v>1.1307375530804544E-3</v>
      </c>
      <c r="S7">
        <f t="shared" si="15"/>
        <v>2.2614751061609088E-3</v>
      </c>
      <c r="T7" s="1">
        <f t="shared" si="16"/>
        <v>3.2259505462912205E-9</v>
      </c>
      <c r="U7" s="1">
        <f t="shared" si="2"/>
        <v>1.8348000000000002</v>
      </c>
      <c r="V7">
        <v>152.9</v>
      </c>
      <c r="W7">
        <f t="shared" si="3"/>
        <v>-5.4280088631349942E-2</v>
      </c>
      <c r="X7">
        <f t="shared" si="0"/>
        <v>-1.4973817553475845E-2</v>
      </c>
      <c r="Y7">
        <f t="shared" si="1"/>
        <v>-1.4973817553475846</v>
      </c>
    </row>
    <row r="8" spans="1:25" x14ac:dyDescent="0.25">
      <c r="A8" s="1">
        <v>40.97</v>
      </c>
      <c r="B8" s="1">
        <f t="shared" si="4"/>
        <v>6.125</v>
      </c>
      <c r="C8" s="1">
        <v>5</v>
      </c>
      <c r="D8" s="1">
        <f t="shared" si="5"/>
        <v>2.5</v>
      </c>
      <c r="E8" s="1">
        <f t="shared" si="6"/>
        <v>2.14</v>
      </c>
      <c r="F8" s="1">
        <v>7216</v>
      </c>
      <c r="G8" s="1">
        <v>120</v>
      </c>
      <c r="H8" s="1">
        <v>1390</v>
      </c>
      <c r="I8" s="6">
        <f t="shared" si="7"/>
        <v>30000000</v>
      </c>
      <c r="J8" s="1">
        <v>19.5</v>
      </c>
      <c r="K8" s="5">
        <f t="shared" si="8"/>
        <v>14.207700519935999</v>
      </c>
      <c r="L8" s="1">
        <v>15000</v>
      </c>
      <c r="M8">
        <f t="shared" si="9"/>
        <v>426231015.59807998</v>
      </c>
      <c r="N8">
        <f t="shared" si="10"/>
        <v>2420992168.5970941</v>
      </c>
      <c r="O8" s="9">
        <f t="shared" si="11"/>
        <v>11325.794826861296</v>
      </c>
      <c r="P8">
        <f t="shared" si="12"/>
        <v>213759.14058192601</v>
      </c>
      <c r="Q8">
        <f t="shared" si="13"/>
        <v>1.8775971378611441E-3</v>
      </c>
      <c r="R8">
        <f t="shared" si="14"/>
        <v>1.0812799717271264E-3</v>
      </c>
      <c r="S8">
        <f t="shared" si="15"/>
        <v>2.1625599434542528E-3</v>
      </c>
      <c r="T8" s="1">
        <f t="shared" si="16"/>
        <v>3.749563947244824E-9</v>
      </c>
      <c r="U8" s="1">
        <f t="shared" si="2"/>
        <v>2.4696000000000002</v>
      </c>
      <c r="V8">
        <v>205.8</v>
      </c>
      <c r="W8">
        <f t="shared" si="3"/>
        <v>0.2086845041766878</v>
      </c>
      <c r="X8">
        <f t="shared" si="0"/>
        <v>5.7568139083224217E-2</v>
      </c>
      <c r="Y8">
        <f t="shared" si="1"/>
        <v>5.7568139083224219</v>
      </c>
    </row>
    <row r="9" spans="1:25" x14ac:dyDescent="0.25">
      <c r="A9" s="1">
        <v>47.59</v>
      </c>
      <c r="B9" s="1">
        <f t="shared" si="4"/>
        <v>6.125</v>
      </c>
      <c r="C9" s="1">
        <v>5</v>
      </c>
      <c r="D9" s="1">
        <f t="shared" si="5"/>
        <v>2.5</v>
      </c>
      <c r="E9" s="1">
        <f t="shared" si="6"/>
        <v>2.14</v>
      </c>
      <c r="F9" s="1">
        <v>7216</v>
      </c>
      <c r="G9" s="1">
        <v>120</v>
      </c>
      <c r="H9" s="1">
        <v>1390</v>
      </c>
      <c r="I9" s="6">
        <f t="shared" si="7"/>
        <v>30000000</v>
      </c>
      <c r="J9" s="1">
        <v>19.5</v>
      </c>
      <c r="K9" s="5">
        <f t="shared" si="8"/>
        <v>14.207700519935999</v>
      </c>
      <c r="L9" s="1">
        <v>15000</v>
      </c>
      <c r="M9">
        <f t="shared" si="9"/>
        <v>426231015.59807998</v>
      </c>
      <c r="N9">
        <f t="shared" si="10"/>
        <v>2420992168.5970941</v>
      </c>
      <c r="O9" s="9">
        <f t="shared" si="11"/>
        <v>10116.468931253774</v>
      </c>
      <c r="P9">
        <f t="shared" si="12"/>
        <v>239311.97585332286</v>
      </c>
      <c r="Q9">
        <f t="shared" si="13"/>
        <v>2.2371551500770903E-3</v>
      </c>
      <c r="R9">
        <f t="shared" si="14"/>
        <v>1.0219232732009372E-3</v>
      </c>
      <c r="S9">
        <f t="shared" si="15"/>
        <v>2.0438465464018745E-3</v>
      </c>
      <c r="T9" s="1">
        <f t="shared" si="16"/>
        <v>4.2223534540628902E-9</v>
      </c>
      <c r="U9" s="1">
        <f t="shared" si="2"/>
        <v>3.1943999999999995</v>
      </c>
      <c r="V9">
        <v>266.2</v>
      </c>
      <c r="W9">
        <f t="shared" si="3"/>
        <v>0.6637884926649541</v>
      </c>
      <c r="X9">
        <f t="shared" si="0"/>
        <v>0.18311406694205631</v>
      </c>
      <c r="Y9">
        <f t="shared" si="1"/>
        <v>18.31140669420563</v>
      </c>
    </row>
    <row r="10" spans="1:25" x14ac:dyDescent="0.25">
      <c r="A10" s="1">
        <v>54.21</v>
      </c>
      <c r="B10" s="1">
        <f t="shared" si="4"/>
        <v>6.125</v>
      </c>
      <c r="C10" s="1">
        <v>5</v>
      </c>
      <c r="D10" s="1">
        <f t="shared" si="5"/>
        <v>2.5</v>
      </c>
      <c r="E10" s="1">
        <f t="shared" si="6"/>
        <v>2.14</v>
      </c>
      <c r="F10" s="1">
        <v>7216</v>
      </c>
      <c r="G10" s="1">
        <v>120</v>
      </c>
      <c r="H10" s="1">
        <v>1390</v>
      </c>
      <c r="I10" s="6">
        <f t="shared" si="7"/>
        <v>30000000</v>
      </c>
      <c r="J10" s="1">
        <v>19.5</v>
      </c>
      <c r="K10" s="5">
        <f t="shared" si="8"/>
        <v>14.207700519935999</v>
      </c>
      <c r="L10" s="1">
        <v>15000</v>
      </c>
      <c r="M10">
        <f t="shared" si="9"/>
        <v>426231015.59807998</v>
      </c>
      <c r="N10">
        <f t="shared" si="10"/>
        <v>2420992168.5970941</v>
      </c>
      <c r="O10" s="9">
        <f t="shared" si="11"/>
        <v>8772.2416310650151</v>
      </c>
      <c r="P10">
        <f t="shared" si="12"/>
        <v>275983.2971339582</v>
      </c>
      <c r="Q10">
        <f t="shared" si="13"/>
        <v>2.6394288738311182E-3</v>
      </c>
      <c r="R10">
        <f t="shared" si="14"/>
        <v>9.5161023998607559E-4</v>
      </c>
      <c r="S10">
        <f t="shared" si="15"/>
        <v>1.9032204799721512E-3</v>
      </c>
      <c r="T10" s="1">
        <f t="shared" si="16"/>
        <v>4.6388385907037489E-9</v>
      </c>
      <c r="U10" s="1">
        <f t="shared" si="2"/>
        <v>3.9972000000000003</v>
      </c>
      <c r="V10">
        <v>333.1</v>
      </c>
      <c r="W10">
        <f t="shared" si="3"/>
        <v>1.4048996145855239</v>
      </c>
      <c r="X10">
        <f t="shared" si="0"/>
        <v>0.38755851436842037</v>
      </c>
      <c r="Y10">
        <f t="shared" si="1"/>
        <v>38.755851436842036</v>
      </c>
    </row>
    <row r="11" spans="1:25" x14ac:dyDescent="0.25">
      <c r="A11" s="1">
        <v>60.84</v>
      </c>
      <c r="B11" s="1">
        <f t="shared" si="4"/>
        <v>6.125</v>
      </c>
      <c r="C11" s="1">
        <v>5</v>
      </c>
      <c r="D11" s="1">
        <f t="shared" si="5"/>
        <v>2.5</v>
      </c>
      <c r="E11" s="1">
        <f t="shared" si="6"/>
        <v>2.14</v>
      </c>
      <c r="F11" s="1">
        <v>7216</v>
      </c>
      <c r="G11" s="1">
        <v>120</v>
      </c>
      <c r="H11" s="1">
        <v>1390</v>
      </c>
      <c r="I11" s="6">
        <f t="shared" si="7"/>
        <v>30000000</v>
      </c>
      <c r="J11" s="1">
        <v>19.5</v>
      </c>
      <c r="K11" s="5">
        <f t="shared" si="8"/>
        <v>14.207700519935999</v>
      </c>
      <c r="L11" s="1">
        <v>15000</v>
      </c>
      <c r="M11">
        <f t="shared" si="9"/>
        <v>426231015.59807998</v>
      </c>
      <c r="N11">
        <f t="shared" si="10"/>
        <v>2420992168.5970941</v>
      </c>
      <c r="O11" s="9">
        <f t="shared" si="11"/>
        <v>7308.7518858799831</v>
      </c>
      <c r="P11">
        <f t="shared" si="12"/>
        <v>331245.63624526479</v>
      </c>
      <c r="Q11">
        <f t="shared" si="13"/>
        <v>3.1129973376834231E-3</v>
      </c>
      <c r="R11">
        <f t="shared" si="14"/>
        <v>8.6861119667347138E-4</v>
      </c>
      <c r="S11">
        <f t="shared" si="15"/>
        <v>1.7372223933469428E-3</v>
      </c>
      <c r="T11" s="1">
        <f t="shared" si="16"/>
        <v>4.993952001856077E-9</v>
      </c>
      <c r="U11" s="1">
        <f t="shared" si="2"/>
        <v>4.8696000000000002</v>
      </c>
      <c r="V11">
        <v>405.8</v>
      </c>
      <c r="W11">
        <f t="shared" si="3"/>
        <v>2.6094916224578637</v>
      </c>
      <c r="X11">
        <f t="shared" si="0"/>
        <v>0.7198597579194107</v>
      </c>
      <c r="Y11">
        <f t="shared" si="1"/>
        <v>71.985975791941073</v>
      </c>
    </row>
    <row r="12" spans="1:25" x14ac:dyDescent="0.25">
      <c r="A12" s="1">
        <v>67.459999999999994</v>
      </c>
      <c r="B12" s="1">
        <f t="shared" si="4"/>
        <v>6.125</v>
      </c>
      <c r="C12" s="1">
        <v>5</v>
      </c>
      <c r="D12" s="1">
        <f t="shared" si="5"/>
        <v>2.5</v>
      </c>
      <c r="E12" s="1">
        <f t="shared" si="6"/>
        <v>2.14</v>
      </c>
      <c r="F12" s="1">
        <v>7216</v>
      </c>
      <c r="G12" s="1">
        <v>120</v>
      </c>
      <c r="H12" s="1">
        <v>1390</v>
      </c>
      <c r="I12" s="6">
        <f t="shared" si="7"/>
        <v>30000000</v>
      </c>
      <c r="J12" s="1">
        <v>19.5</v>
      </c>
      <c r="K12" s="5">
        <f t="shared" si="8"/>
        <v>14.207700519935999</v>
      </c>
      <c r="L12" s="1">
        <v>15000</v>
      </c>
      <c r="M12">
        <f t="shared" si="9"/>
        <v>426231015.59807998</v>
      </c>
      <c r="N12">
        <f t="shared" si="10"/>
        <v>2420992168.5970941</v>
      </c>
      <c r="O12" s="9">
        <f t="shared" si="11"/>
        <v>5749.9249296664939</v>
      </c>
      <c r="P12">
        <f t="shared" si="12"/>
        <v>421047.61335336528</v>
      </c>
      <c r="Q12">
        <f t="shared" si="13"/>
        <v>3.7120525652094573E-3</v>
      </c>
      <c r="R12">
        <f t="shared" si="14"/>
        <v>7.7043304336068521E-4</v>
      </c>
      <c r="S12">
        <f t="shared" si="15"/>
        <v>1.5408660867213704E-3</v>
      </c>
      <c r="T12" s="1">
        <f t="shared" si="16"/>
        <v>5.2818882683327035E-9</v>
      </c>
      <c r="U12" s="1">
        <f t="shared" si="2"/>
        <v>5.7996000000000008</v>
      </c>
      <c r="V12">
        <v>483.3</v>
      </c>
      <c r="W12">
        <f t="shared" si="3"/>
        <v>4.650110337153297</v>
      </c>
      <c r="X12">
        <f t="shared" si="0"/>
        <v>1.2827890585250474</v>
      </c>
      <c r="Y12">
        <f t="shared" si="1"/>
        <v>128.27890585250475</v>
      </c>
    </row>
    <row r="13" spans="1:25" x14ac:dyDescent="0.25">
      <c r="A13" s="1">
        <v>70</v>
      </c>
      <c r="B13" s="1">
        <f t="shared" si="4"/>
        <v>6.125</v>
      </c>
      <c r="C13" s="1">
        <v>5</v>
      </c>
      <c r="D13" s="1">
        <f t="shared" si="5"/>
        <v>2.5</v>
      </c>
      <c r="E13" s="1">
        <f t="shared" si="6"/>
        <v>2.14</v>
      </c>
      <c r="F13" s="1">
        <v>7216</v>
      </c>
      <c r="G13" s="1">
        <v>120</v>
      </c>
      <c r="H13" s="1">
        <v>1390</v>
      </c>
      <c r="I13" s="6">
        <f t="shared" si="7"/>
        <v>30000000</v>
      </c>
      <c r="J13" s="1">
        <v>19.5</v>
      </c>
      <c r="K13" s="5">
        <f t="shared" si="8"/>
        <v>14.207700519935999</v>
      </c>
      <c r="L13" s="1">
        <v>15000</v>
      </c>
      <c r="M13">
        <f t="shared" si="9"/>
        <v>426231015.59807998</v>
      </c>
      <c r="N13">
        <f t="shared" si="10"/>
        <v>2420992168.5970941</v>
      </c>
      <c r="O13" s="9">
        <f t="shared" si="11"/>
        <v>5130.3021498850321</v>
      </c>
      <c r="P13">
        <f t="shared" si="12"/>
        <v>471900.50368697045</v>
      </c>
      <c r="Q13">
        <f t="shared" si="13"/>
        <v>3.9982497142397287E-3</v>
      </c>
      <c r="R13">
        <f t="shared" si="14"/>
        <v>7.2773839003225304E-4</v>
      </c>
      <c r="S13">
        <f t="shared" si="15"/>
        <v>1.4554767800645061E-3</v>
      </c>
      <c r="T13" s="1">
        <f t="shared" si="16"/>
        <v>5.3738481699921822E-9</v>
      </c>
      <c r="U13" s="1">
        <f t="shared" si="2"/>
        <v>6.1667999999999994</v>
      </c>
      <c r="V13">
        <v>513.9</v>
      </c>
      <c r="W13">
        <f t="shared" si="3"/>
        <v>5.8178151690077691</v>
      </c>
      <c r="X13">
        <f t="shared" si="0"/>
        <v>1.6049145293814535</v>
      </c>
      <c r="Y13">
        <f t="shared" si="1"/>
        <v>160.49145293814536</v>
      </c>
    </row>
    <row r="14" spans="1:25" x14ac:dyDescent="0.25">
      <c r="A14" s="1">
        <v>70</v>
      </c>
      <c r="B14" s="1">
        <f t="shared" si="4"/>
        <v>6.125</v>
      </c>
      <c r="C14" s="1">
        <v>5</v>
      </c>
      <c r="D14" s="1">
        <f t="shared" si="5"/>
        <v>2.5</v>
      </c>
      <c r="E14" s="1">
        <f t="shared" si="6"/>
        <v>2.14</v>
      </c>
      <c r="F14" s="1">
        <v>7216</v>
      </c>
      <c r="G14" s="1">
        <v>120</v>
      </c>
      <c r="H14" s="1">
        <v>1390</v>
      </c>
      <c r="I14" s="6">
        <f t="shared" si="7"/>
        <v>30000000</v>
      </c>
      <c r="J14" s="1">
        <v>19.5</v>
      </c>
      <c r="K14" s="5">
        <f t="shared" ref="K14:K28" si="17">(3.1416/4)*(POWER((D14),4)-POWER((E14),4))</f>
        <v>14.207700519935999</v>
      </c>
      <c r="L14" s="1">
        <v>15000</v>
      </c>
      <c r="M14">
        <f t="shared" ref="M14:M28" si="18">I14*K14</f>
        <v>426231015.59807998</v>
      </c>
      <c r="N14">
        <f t="shared" si="10"/>
        <v>2420992168.5970941</v>
      </c>
      <c r="O14" s="9">
        <f t="shared" ref="O14:O28" si="19">L14*COS(RADIANS(A14))</f>
        <v>5130.3021498850321</v>
      </c>
      <c r="P14">
        <f t="shared" ref="P14:P28" si="20">N14/O14</f>
        <v>471900.50368697045</v>
      </c>
      <c r="Q14">
        <f t="shared" ref="Q14:Q28" si="21">(0.176*L14*SIN(RADIANS(A14))*POWER(N14,(1/2)))/(M14*POWER(O14,(1/2)))</f>
        <v>3.9982497142397287E-3</v>
      </c>
      <c r="R14">
        <f t="shared" ref="R14:R28" si="22">(POWER(0.176*O14,(1/2)))/(2*POWER(M14,(1/2)))</f>
        <v>7.2773839003225304E-4</v>
      </c>
      <c r="S14">
        <f t="shared" ref="S14:S28" si="23">(POWER(0.176*O14,(1/2)))/(POWER(M14,(1/2)))</f>
        <v>1.4554767800645061E-3</v>
      </c>
      <c r="T14" s="1">
        <f t="shared" ref="T14:T28" si="24">0.5*J14*SIN(RADIANS(A14))/(4*M14)</f>
        <v>5.3738481699921822E-9</v>
      </c>
      <c r="U14" s="1">
        <f t="shared" si="2"/>
        <v>6.7655999999999992</v>
      </c>
      <c r="V14">
        <v>563.79999999999995</v>
      </c>
      <c r="W14">
        <f t="shared" ref="W14:W29" si="25">P14*((Q14*(SINH((R14*U14))-S14))+(T14*POWER(U14,2)))</f>
        <v>6.6596621815624504</v>
      </c>
      <c r="X14">
        <f t="shared" si="0"/>
        <v>1.8371481880172278</v>
      </c>
      <c r="Y14">
        <f t="shared" si="1"/>
        <v>183.71481880172277</v>
      </c>
    </row>
    <row r="15" spans="1:25" x14ac:dyDescent="0.25">
      <c r="A15" s="1">
        <v>70</v>
      </c>
      <c r="B15" s="1">
        <f t="shared" si="4"/>
        <v>6.125</v>
      </c>
      <c r="C15" s="1">
        <v>5</v>
      </c>
      <c r="D15" s="1">
        <f t="shared" si="5"/>
        <v>2.5</v>
      </c>
      <c r="E15" s="1">
        <f t="shared" si="6"/>
        <v>2.14</v>
      </c>
      <c r="F15" s="1">
        <v>7216</v>
      </c>
      <c r="G15" s="1">
        <v>120</v>
      </c>
      <c r="H15" s="1">
        <v>1390</v>
      </c>
      <c r="I15" s="6">
        <f t="shared" si="7"/>
        <v>30000000</v>
      </c>
      <c r="J15" s="1">
        <v>19.5</v>
      </c>
      <c r="K15" s="5">
        <f t="shared" si="17"/>
        <v>14.207700519935999</v>
      </c>
      <c r="L15" s="1">
        <v>15000</v>
      </c>
      <c r="M15">
        <f t="shared" si="18"/>
        <v>426231015.59807998</v>
      </c>
      <c r="N15">
        <f t="shared" si="10"/>
        <v>2420992168.5970941</v>
      </c>
      <c r="O15" s="9">
        <f t="shared" si="19"/>
        <v>5130.3021498850321</v>
      </c>
      <c r="P15">
        <f t="shared" si="20"/>
        <v>471900.50368697045</v>
      </c>
      <c r="Q15">
        <f t="shared" si="21"/>
        <v>3.9982497142397287E-3</v>
      </c>
      <c r="R15">
        <f t="shared" si="22"/>
        <v>7.2773839003225304E-4</v>
      </c>
      <c r="S15">
        <f t="shared" si="23"/>
        <v>1.4554767800645061E-3</v>
      </c>
      <c r="T15" s="1">
        <f t="shared" si="24"/>
        <v>5.3738481699921822E-9</v>
      </c>
      <c r="U15" s="1">
        <f t="shared" si="2"/>
        <v>7.6224000000000007</v>
      </c>
      <c r="V15">
        <v>635.20000000000005</v>
      </c>
      <c r="W15">
        <f t="shared" si="25"/>
        <v>7.8673946509417405</v>
      </c>
      <c r="X15">
        <f t="shared" si="0"/>
        <v>2.170315765777032</v>
      </c>
      <c r="Y15">
        <f t="shared" si="1"/>
        <v>217.03157657770319</v>
      </c>
    </row>
    <row r="16" spans="1:25" x14ac:dyDescent="0.25">
      <c r="A16" s="1">
        <v>70.78</v>
      </c>
      <c r="B16" s="1">
        <f t="shared" si="4"/>
        <v>6.125</v>
      </c>
      <c r="C16" s="1">
        <v>5</v>
      </c>
      <c r="D16" s="1">
        <f t="shared" si="5"/>
        <v>2.5</v>
      </c>
      <c r="E16" s="1">
        <f t="shared" si="6"/>
        <v>2.14</v>
      </c>
      <c r="F16" s="1">
        <v>7216</v>
      </c>
      <c r="G16" s="1">
        <v>120</v>
      </c>
      <c r="H16" s="1">
        <v>1390</v>
      </c>
      <c r="I16" s="6">
        <f t="shared" si="7"/>
        <v>30000000</v>
      </c>
      <c r="J16" s="1">
        <v>19.5</v>
      </c>
      <c r="K16" s="5">
        <f t="shared" si="17"/>
        <v>14.207700519935999</v>
      </c>
      <c r="L16" s="1">
        <v>15000</v>
      </c>
      <c r="M16">
        <f t="shared" si="18"/>
        <v>426231015.59807998</v>
      </c>
      <c r="N16">
        <f t="shared" si="10"/>
        <v>2420992168.5970941</v>
      </c>
      <c r="O16" s="9">
        <f t="shared" si="19"/>
        <v>4937.9441435544104</v>
      </c>
      <c r="P16">
        <f t="shared" si="20"/>
        <v>490283.42529091984</v>
      </c>
      <c r="Q16">
        <f t="shared" si="21"/>
        <v>4.0951967712408929E-3</v>
      </c>
      <c r="R16">
        <f t="shared" si="22"/>
        <v>7.1396496384093944E-4</v>
      </c>
      <c r="S16">
        <f t="shared" si="23"/>
        <v>1.4279299276818789E-3</v>
      </c>
      <c r="T16" s="1">
        <f t="shared" si="24"/>
        <v>5.399976450463257E-9</v>
      </c>
      <c r="U16" s="1">
        <f t="shared" si="2"/>
        <v>7.7364000000000006</v>
      </c>
      <c r="V16">
        <v>644.70000000000005</v>
      </c>
      <c r="W16">
        <f t="shared" si="25"/>
        <v>8.3816672998964048</v>
      </c>
      <c r="X16">
        <f t="shared" si="0"/>
        <v>2.3121840827300426</v>
      </c>
      <c r="Y16">
        <f t="shared" si="1"/>
        <v>231.21840827300426</v>
      </c>
    </row>
    <row r="17" spans="1:25" x14ac:dyDescent="0.25">
      <c r="A17" s="1">
        <v>77.430000000000007</v>
      </c>
      <c r="B17" s="1">
        <f t="shared" si="4"/>
        <v>6.125</v>
      </c>
      <c r="C17" s="1">
        <v>5</v>
      </c>
      <c r="D17" s="1">
        <f t="shared" si="5"/>
        <v>2.5</v>
      </c>
      <c r="E17" s="1">
        <f t="shared" si="6"/>
        <v>2.14</v>
      </c>
      <c r="F17" s="1">
        <v>7216</v>
      </c>
      <c r="G17" s="1">
        <v>120</v>
      </c>
      <c r="H17" s="1">
        <v>1390</v>
      </c>
      <c r="I17" s="6">
        <f t="shared" si="7"/>
        <v>30000000</v>
      </c>
      <c r="J17" s="1">
        <v>19.5</v>
      </c>
      <c r="K17" s="5">
        <f t="shared" si="17"/>
        <v>14.207700519935999</v>
      </c>
      <c r="L17" s="1">
        <v>15000</v>
      </c>
      <c r="M17">
        <f t="shared" si="18"/>
        <v>426231015.59807998</v>
      </c>
      <c r="N17">
        <f t="shared" si="10"/>
        <v>2420992168.5970941</v>
      </c>
      <c r="O17" s="9">
        <f t="shared" si="19"/>
        <v>3264.4833404347578</v>
      </c>
      <c r="P17">
        <f t="shared" si="20"/>
        <v>741615.72173153469</v>
      </c>
      <c r="Q17">
        <f t="shared" si="21"/>
        <v>5.206092567231025E-3</v>
      </c>
      <c r="R17">
        <f t="shared" si="22"/>
        <v>5.8051178675620372E-4</v>
      </c>
      <c r="S17">
        <f t="shared" si="23"/>
        <v>1.1610235735124074E-3</v>
      </c>
      <c r="T17" s="1">
        <f t="shared" si="24"/>
        <v>5.5816566701714764E-9</v>
      </c>
      <c r="U17" s="1">
        <f t="shared" si="2"/>
        <v>8.7287999999999997</v>
      </c>
      <c r="V17">
        <v>727.4</v>
      </c>
      <c r="W17">
        <f t="shared" si="25"/>
        <v>15.396800252146873</v>
      </c>
      <c r="X17">
        <f t="shared" si="0"/>
        <v>4.2473931730060341</v>
      </c>
      <c r="Y17">
        <f t="shared" si="1"/>
        <v>424.73931730060343</v>
      </c>
    </row>
    <row r="18" spans="1:25" x14ac:dyDescent="0.25">
      <c r="A18" s="1">
        <v>84.08</v>
      </c>
      <c r="B18" s="1">
        <f t="shared" si="4"/>
        <v>6.125</v>
      </c>
      <c r="C18" s="1">
        <v>5</v>
      </c>
      <c r="D18" s="1">
        <f t="shared" si="5"/>
        <v>2.5</v>
      </c>
      <c r="E18" s="1">
        <f t="shared" si="6"/>
        <v>2.14</v>
      </c>
      <c r="F18" s="1">
        <v>7216</v>
      </c>
      <c r="G18" s="1">
        <v>120</v>
      </c>
      <c r="H18" s="1">
        <v>1390</v>
      </c>
      <c r="I18" s="6">
        <f t="shared" si="7"/>
        <v>30000000</v>
      </c>
      <c r="J18" s="1">
        <v>19.5</v>
      </c>
      <c r="K18" s="5">
        <f t="shared" si="17"/>
        <v>14.207700519935999</v>
      </c>
      <c r="L18" s="1">
        <v>15000</v>
      </c>
      <c r="M18">
        <f t="shared" si="18"/>
        <v>426231015.59807998</v>
      </c>
      <c r="N18">
        <f t="shared" si="10"/>
        <v>2420992168.5970941</v>
      </c>
      <c r="O18" s="9">
        <f t="shared" si="19"/>
        <v>1547.0962095370112</v>
      </c>
      <c r="P18">
        <f t="shared" si="20"/>
        <v>1564862.0646039897</v>
      </c>
      <c r="Q18">
        <f t="shared" si="21"/>
        <v>7.7068084405774485E-3</v>
      </c>
      <c r="R18">
        <f t="shared" si="22"/>
        <v>3.9963404129798354E-4</v>
      </c>
      <c r="S18">
        <f t="shared" si="23"/>
        <v>7.9926808259596707E-4</v>
      </c>
      <c r="T18" s="1">
        <f t="shared" si="24"/>
        <v>5.6882310753081015E-9</v>
      </c>
      <c r="U18" s="1">
        <f t="shared" si="2"/>
        <v>9.7464000000000013</v>
      </c>
      <c r="V18">
        <v>812.2</v>
      </c>
      <c r="W18">
        <f t="shared" si="25"/>
        <v>38.180404050915968</v>
      </c>
      <c r="X18">
        <f t="shared" si="0"/>
        <v>10.532525255425094</v>
      </c>
      <c r="Y18">
        <f t="shared" si="1"/>
        <v>1053.2525255425094</v>
      </c>
    </row>
    <row r="19" spans="1:25" x14ac:dyDescent="0.25">
      <c r="A19" s="1">
        <v>85</v>
      </c>
      <c r="B19" s="1">
        <f t="shared" si="4"/>
        <v>6.125</v>
      </c>
      <c r="C19" s="1">
        <v>5</v>
      </c>
      <c r="D19" s="1">
        <f t="shared" si="5"/>
        <v>2.5</v>
      </c>
      <c r="E19" s="1">
        <f t="shared" si="6"/>
        <v>2.14</v>
      </c>
      <c r="F19" s="1">
        <v>7216</v>
      </c>
      <c r="G19" s="1">
        <v>120</v>
      </c>
      <c r="H19" s="1">
        <v>1390</v>
      </c>
      <c r="I19" s="6">
        <f t="shared" si="7"/>
        <v>30000000</v>
      </c>
      <c r="J19" s="1">
        <v>19.5</v>
      </c>
      <c r="K19" s="5">
        <f t="shared" si="17"/>
        <v>14.207700519935999</v>
      </c>
      <c r="L19" s="1">
        <v>15000</v>
      </c>
      <c r="M19">
        <f t="shared" si="18"/>
        <v>426231015.59807998</v>
      </c>
      <c r="N19">
        <f t="shared" si="10"/>
        <v>2420992168.5970941</v>
      </c>
      <c r="O19" s="9">
        <f t="shared" si="19"/>
        <v>1307.336141214872</v>
      </c>
      <c r="P19">
        <f t="shared" si="20"/>
        <v>1851851.3274996986</v>
      </c>
      <c r="Q19">
        <f t="shared" si="21"/>
        <v>8.396652162879539E-3</v>
      </c>
      <c r="R19">
        <f t="shared" si="22"/>
        <v>3.6736472096957084E-4</v>
      </c>
      <c r="S19">
        <f t="shared" si="23"/>
        <v>7.3472944193914169E-4</v>
      </c>
      <c r="T19" s="1">
        <f t="shared" si="24"/>
        <v>5.6969682818398075E-9</v>
      </c>
      <c r="U19" s="1">
        <f t="shared" si="2"/>
        <v>9.8892000000000007</v>
      </c>
      <c r="V19">
        <v>824.1</v>
      </c>
      <c r="W19">
        <f t="shared" si="25"/>
        <v>46.097213236211786</v>
      </c>
      <c r="X19">
        <f t="shared" si="0"/>
        <v>12.71647261688601</v>
      </c>
      <c r="Y19">
        <f t="shared" si="1"/>
        <v>1271.647261688601</v>
      </c>
    </row>
    <row r="20" spans="1:25" x14ac:dyDescent="0.25">
      <c r="A20" s="1">
        <v>85.49</v>
      </c>
      <c r="B20" s="1">
        <f t="shared" si="4"/>
        <v>6.125</v>
      </c>
      <c r="C20" s="1">
        <v>5</v>
      </c>
      <c r="D20" s="1">
        <f t="shared" si="5"/>
        <v>2.5</v>
      </c>
      <c r="E20" s="1">
        <f t="shared" si="6"/>
        <v>2.14</v>
      </c>
      <c r="F20" s="1">
        <v>7216</v>
      </c>
      <c r="G20" s="1">
        <v>120</v>
      </c>
      <c r="H20" s="1">
        <v>1390</v>
      </c>
      <c r="I20" s="6">
        <f t="shared" si="7"/>
        <v>30000000</v>
      </c>
      <c r="J20" s="1">
        <v>19.5</v>
      </c>
      <c r="K20" s="5">
        <f t="shared" si="17"/>
        <v>14.207700519935999</v>
      </c>
      <c r="L20" s="1">
        <v>15000</v>
      </c>
      <c r="M20">
        <f t="shared" si="18"/>
        <v>426231015.59807998</v>
      </c>
      <c r="N20">
        <f t="shared" si="10"/>
        <v>2420992168.5970941</v>
      </c>
      <c r="O20" s="9">
        <f t="shared" si="19"/>
        <v>1179.4963414559959</v>
      </c>
      <c r="P20">
        <f t="shared" si="20"/>
        <v>2052564.3730344842</v>
      </c>
      <c r="Q20">
        <f t="shared" si="21"/>
        <v>8.8462752120356033E-3</v>
      </c>
      <c r="R20">
        <f t="shared" si="22"/>
        <v>3.4894108960958317E-4</v>
      </c>
      <c r="S20">
        <f t="shared" si="23"/>
        <v>6.9788217921916635E-4</v>
      </c>
      <c r="T20" s="1">
        <f t="shared" si="24"/>
        <v>5.7010224424223363E-9</v>
      </c>
      <c r="U20" s="1">
        <f t="shared" si="2"/>
        <v>10.774799999999999</v>
      </c>
      <c r="V20">
        <v>897.9</v>
      </c>
      <c r="W20">
        <f t="shared" si="25"/>
        <v>56.955074269188003</v>
      </c>
      <c r="X20">
        <f t="shared" si="0"/>
        <v>15.711744625982897</v>
      </c>
      <c r="Y20">
        <f t="shared" si="1"/>
        <v>1571.1744625982897</v>
      </c>
    </row>
    <row r="21" spans="1:25" x14ac:dyDescent="0.25">
      <c r="A21" s="1">
        <v>86.08</v>
      </c>
      <c r="B21" s="1">
        <f t="shared" si="4"/>
        <v>6.125</v>
      </c>
      <c r="C21" s="1">
        <v>5</v>
      </c>
      <c r="D21" s="1">
        <f t="shared" si="5"/>
        <v>2.5</v>
      </c>
      <c r="E21" s="1">
        <f t="shared" si="6"/>
        <v>2.14</v>
      </c>
      <c r="F21" s="1">
        <v>7216</v>
      </c>
      <c r="G21" s="1">
        <v>120</v>
      </c>
      <c r="H21" s="1">
        <v>1390</v>
      </c>
      <c r="I21" s="6">
        <f t="shared" si="7"/>
        <v>30000000</v>
      </c>
      <c r="J21" s="1">
        <v>19.5</v>
      </c>
      <c r="K21" s="5">
        <f t="shared" si="17"/>
        <v>14.207700519935999</v>
      </c>
      <c r="L21" s="1">
        <v>15000</v>
      </c>
      <c r="M21">
        <f t="shared" si="18"/>
        <v>426231015.59807998</v>
      </c>
      <c r="N21">
        <f t="shared" si="10"/>
        <v>2420992168.5970941</v>
      </c>
      <c r="O21" s="9">
        <f t="shared" si="19"/>
        <v>1025.4531603850312</v>
      </c>
      <c r="P21">
        <f t="shared" si="20"/>
        <v>2360899.8071526485</v>
      </c>
      <c r="Q21">
        <f t="shared" si="21"/>
        <v>9.4946819990463088E-3</v>
      </c>
      <c r="R21">
        <f t="shared" si="22"/>
        <v>3.253581782896222E-4</v>
      </c>
      <c r="S21">
        <f t="shared" si="23"/>
        <v>6.507163565792444E-4</v>
      </c>
      <c r="T21" s="1">
        <f t="shared" si="24"/>
        <v>5.7053506709709233E-9</v>
      </c>
      <c r="U21" s="1">
        <f t="shared" si="2"/>
        <v>11.804400000000001</v>
      </c>
      <c r="V21">
        <v>983.7</v>
      </c>
      <c r="W21">
        <f t="shared" si="25"/>
        <v>73.382851197669112</v>
      </c>
      <c r="X21">
        <f t="shared" si="0"/>
        <v>20.243545157977685</v>
      </c>
      <c r="Y21">
        <f t="shared" si="1"/>
        <v>2024.3545157977685</v>
      </c>
    </row>
    <row r="22" spans="1:25" x14ac:dyDescent="0.25">
      <c r="A22" s="1">
        <v>86.63</v>
      </c>
      <c r="B22" s="1">
        <f t="shared" si="4"/>
        <v>6.125</v>
      </c>
      <c r="C22" s="1">
        <v>5</v>
      </c>
      <c r="D22" s="1">
        <f t="shared" si="5"/>
        <v>2.5</v>
      </c>
      <c r="E22" s="1">
        <f t="shared" si="6"/>
        <v>2.14</v>
      </c>
      <c r="F22" s="1">
        <v>7216</v>
      </c>
      <c r="G22" s="1">
        <v>120</v>
      </c>
      <c r="H22" s="1">
        <v>1390</v>
      </c>
      <c r="I22" s="6">
        <f t="shared" si="7"/>
        <v>30000000</v>
      </c>
      <c r="J22" s="1">
        <v>19.5</v>
      </c>
      <c r="K22" s="5">
        <f t="shared" si="17"/>
        <v>14.207700519935999</v>
      </c>
      <c r="L22" s="1">
        <v>15000</v>
      </c>
      <c r="M22">
        <f t="shared" si="18"/>
        <v>426231015.59807998</v>
      </c>
      <c r="N22">
        <f t="shared" si="10"/>
        <v>2420992168.5970941</v>
      </c>
      <c r="O22" s="9">
        <f t="shared" si="19"/>
        <v>881.75532477900913</v>
      </c>
      <c r="P22">
        <f t="shared" si="20"/>
        <v>2745650.749774443</v>
      </c>
      <c r="Q22">
        <f t="shared" si="21"/>
        <v>1.0245422400429761E-2</v>
      </c>
      <c r="R22">
        <f t="shared" si="22"/>
        <v>3.0170177085218133E-4</v>
      </c>
      <c r="S22">
        <f t="shared" si="23"/>
        <v>6.0340354170436265E-4</v>
      </c>
      <c r="T22" s="1">
        <f t="shared" si="24"/>
        <v>5.7088406264199466E-9</v>
      </c>
      <c r="U22" s="1">
        <f t="shared" si="2"/>
        <v>12.834</v>
      </c>
      <c r="V22">
        <v>1069.5</v>
      </c>
      <c r="W22">
        <f t="shared" si="25"/>
        <v>94.529948546549093</v>
      </c>
      <c r="X22">
        <f t="shared" si="0"/>
        <v>26.077227185254923</v>
      </c>
      <c r="Y22">
        <f t="shared" si="1"/>
        <v>2607.7227185254924</v>
      </c>
    </row>
    <row r="23" spans="1:25" x14ac:dyDescent="0.25">
      <c r="A23" s="1">
        <v>87.2</v>
      </c>
      <c r="B23" s="1">
        <f t="shared" si="4"/>
        <v>6.125</v>
      </c>
      <c r="C23" s="1">
        <v>5</v>
      </c>
      <c r="D23" s="1">
        <f t="shared" si="5"/>
        <v>2.5</v>
      </c>
      <c r="E23" s="1">
        <f t="shared" si="6"/>
        <v>2.14</v>
      </c>
      <c r="F23" s="1">
        <v>7216</v>
      </c>
      <c r="G23" s="1">
        <v>120</v>
      </c>
      <c r="H23" s="1">
        <v>1390</v>
      </c>
      <c r="I23" s="6">
        <f t="shared" si="7"/>
        <v>30000000</v>
      </c>
      <c r="J23" s="1">
        <v>19.5</v>
      </c>
      <c r="K23" s="5">
        <f t="shared" si="17"/>
        <v>14.207700519935999</v>
      </c>
      <c r="L23" s="1">
        <v>15000</v>
      </c>
      <c r="M23">
        <f t="shared" si="18"/>
        <v>426231015.59807998</v>
      </c>
      <c r="N23">
        <f t="shared" si="10"/>
        <v>2420992168.5970941</v>
      </c>
      <c r="O23" s="9">
        <f t="shared" si="19"/>
        <v>732.74654693419745</v>
      </c>
      <c r="P23">
        <f t="shared" si="20"/>
        <v>3303996.6939816987</v>
      </c>
      <c r="Q23">
        <f t="shared" si="21"/>
        <v>1.1245010940860799E-2</v>
      </c>
      <c r="R23">
        <f t="shared" si="22"/>
        <v>2.7503040227769954E-4</v>
      </c>
      <c r="S23">
        <f t="shared" si="23"/>
        <v>5.5006080455539908E-4</v>
      </c>
      <c r="T23" s="1">
        <f t="shared" si="24"/>
        <v>5.7119023972330391E-9</v>
      </c>
      <c r="U23" s="1">
        <f t="shared" si="2"/>
        <v>13.864800000000001</v>
      </c>
      <c r="V23">
        <v>1155.4000000000001</v>
      </c>
      <c r="W23">
        <f t="shared" si="25"/>
        <v>124.86669511363674</v>
      </c>
      <c r="X23">
        <f t="shared" si="0"/>
        <v>34.445984858934274</v>
      </c>
      <c r="Y23">
        <f t="shared" si="1"/>
        <v>3444.5984858934276</v>
      </c>
    </row>
    <row r="24" spans="1:25" x14ac:dyDescent="0.25">
      <c r="A24" s="1">
        <v>87.77</v>
      </c>
      <c r="B24" s="1">
        <f t="shared" si="4"/>
        <v>6.125</v>
      </c>
      <c r="C24" s="1">
        <v>5</v>
      </c>
      <c r="D24" s="1">
        <f t="shared" si="5"/>
        <v>2.5</v>
      </c>
      <c r="E24" s="1">
        <f t="shared" si="6"/>
        <v>2.14</v>
      </c>
      <c r="F24" s="1">
        <v>7216</v>
      </c>
      <c r="G24" s="1">
        <v>120</v>
      </c>
      <c r="H24" s="1">
        <v>1390</v>
      </c>
      <c r="I24" s="6">
        <f t="shared" si="7"/>
        <v>30000000</v>
      </c>
      <c r="J24" s="1">
        <v>19.5</v>
      </c>
      <c r="K24" s="5">
        <f t="shared" si="17"/>
        <v>14.207700519935999</v>
      </c>
      <c r="L24" s="1">
        <v>15000</v>
      </c>
      <c r="M24">
        <f t="shared" si="18"/>
        <v>426231015.59807998</v>
      </c>
      <c r="N24">
        <f t="shared" si="10"/>
        <v>2420992168.5970941</v>
      </c>
      <c r="O24" s="9">
        <f t="shared" si="19"/>
        <v>583.66524961542984</v>
      </c>
      <c r="P24">
        <f t="shared" si="20"/>
        <v>4147912.129756324</v>
      </c>
      <c r="Q24">
        <f t="shared" si="21"/>
        <v>1.2605051579569874E-2</v>
      </c>
      <c r="R24">
        <f t="shared" si="22"/>
        <v>2.4546282733668527E-4</v>
      </c>
      <c r="S24">
        <f t="shared" si="23"/>
        <v>4.9092565467337055E-4</v>
      </c>
      <c r="T24" s="1">
        <f t="shared" si="24"/>
        <v>5.7143988645876458E-9</v>
      </c>
      <c r="U24" s="1">
        <f t="shared" si="2"/>
        <v>14.895599999999998</v>
      </c>
      <c r="V24">
        <v>1241.3</v>
      </c>
      <c r="W24">
        <f t="shared" si="25"/>
        <v>170.76090202234369</v>
      </c>
      <c r="X24">
        <f t="shared" si="0"/>
        <v>47.106455730301704</v>
      </c>
      <c r="Y24">
        <f t="shared" si="1"/>
        <v>4710.6455730301705</v>
      </c>
    </row>
    <row r="25" spans="1:25" x14ac:dyDescent="0.25">
      <c r="A25" s="1">
        <v>88.34</v>
      </c>
      <c r="B25" s="1">
        <f t="shared" si="4"/>
        <v>6.125</v>
      </c>
      <c r="C25" s="1">
        <v>5</v>
      </c>
      <c r="D25" s="1">
        <f t="shared" si="5"/>
        <v>2.5</v>
      </c>
      <c r="E25" s="1">
        <f t="shared" si="6"/>
        <v>2.14</v>
      </c>
      <c r="F25" s="1">
        <v>7216</v>
      </c>
      <c r="G25" s="1">
        <v>120</v>
      </c>
      <c r="H25" s="1">
        <v>1390</v>
      </c>
      <c r="I25" s="6">
        <f t="shared" si="7"/>
        <v>30000000</v>
      </c>
      <c r="J25" s="1">
        <v>19.5</v>
      </c>
      <c r="K25" s="5">
        <f t="shared" si="17"/>
        <v>14.207700519935999</v>
      </c>
      <c r="L25" s="1">
        <v>15000</v>
      </c>
      <c r="M25">
        <f t="shared" si="18"/>
        <v>426231015.59807998</v>
      </c>
      <c r="N25">
        <f t="shared" si="10"/>
        <v>2420992168.5970941</v>
      </c>
      <c r="O25" s="9">
        <f t="shared" si="19"/>
        <v>434.52618730677307</v>
      </c>
      <c r="P25">
        <f t="shared" si="20"/>
        <v>5571567.9269012325</v>
      </c>
      <c r="Q25">
        <f t="shared" si="21"/>
        <v>1.4613871797526261E-2</v>
      </c>
      <c r="R25">
        <f t="shared" si="22"/>
        <v>2.1179309225740511E-4</v>
      </c>
      <c r="S25">
        <f t="shared" si="23"/>
        <v>4.2358618451481022E-4</v>
      </c>
      <c r="T25" s="1">
        <f t="shared" si="24"/>
        <v>5.7163297814099352E-9</v>
      </c>
      <c r="U25" s="1">
        <f t="shared" si="2"/>
        <v>15.927599999999998</v>
      </c>
      <c r="V25">
        <v>1327.3</v>
      </c>
      <c r="W25">
        <f t="shared" si="25"/>
        <v>248.25688283169879</v>
      </c>
      <c r="X25">
        <f t="shared" si="0"/>
        <v>68.484657332882421</v>
      </c>
      <c r="Y25">
        <f t="shared" si="1"/>
        <v>6848.4657332882416</v>
      </c>
    </row>
    <row r="26" spans="1:25" x14ac:dyDescent="0.25">
      <c r="A26" s="1">
        <v>88.9</v>
      </c>
      <c r="B26" s="1">
        <f t="shared" si="4"/>
        <v>6.125</v>
      </c>
      <c r="C26" s="1">
        <v>5</v>
      </c>
      <c r="D26" s="1">
        <f t="shared" si="5"/>
        <v>2.5</v>
      </c>
      <c r="E26" s="1">
        <f t="shared" si="6"/>
        <v>2.14</v>
      </c>
      <c r="F26" s="1">
        <v>7216</v>
      </c>
      <c r="G26" s="1">
        <v>120</v>
      </c>
      <c r="H26" s="1">
        <v>1390</v>
      </c>
      <c r="I26" s="6">
        <f t="shared" si="7"/>
        <v>30000000</v>
      </c>
      <c r="J26" s="1">
        <v>19.5</v>
      </c>
      <c r="K26" s="5">
        <f t="shared" si="17"/>
        <v>14.207700519935999</v>
      </c>
      <c r="L26" s="1">
        <v>15000</v>
      </c>
      <c r="M26">
        <f t="shared" si="18"/>
        <v>426231015.59807998</v>
      </c>
      <c r="N26">
        <f t="shared" si="10"/>
        <v>2420992168.5970941</v>
      </c>
      <c r="O26" s="9">
        <f t="shared" si="19"/>
        <v>287.96163599534464</v>
      </c>
      <c r="P26">
        <f t="shared" si="20"/>
        <v>8407342.7358783074</v>
      </c>
      <c r="Q26">
        <f t="shared" si="21"/>
        <v>1.795594273049347E-2</v>
      </c>
      <c r="R26">
        <f t="shared" si="22"/>
        <v>1.7241344513265714E-4</v>
      </c>
      <c r="S26">
        <f t="shared" si="23"/>
        <v>3.4482689026531428E-4</v>
      </c>
      <c r="T26" s="1">
        <f t="shared" si="24"/>
        <v>5.7176758825888825E-9</v>
      </c>
      <c r="U26" s="1">
        <f t="shared" si="2"/>
        <v>16.958400000000001</v>
      </c>
      <c r="V26">
        <v>1413.2</v>
      </c>
      <c r="W26">
        <f t="shared" si="25"/>
        <v>403.15989532446446</v>
      </c>
      <c r="X26">
        <f t="shared" si="0"/>
        <v>111.21652284812812</v>
      </c>
      <c r="Y26">
        <f t="shared" si="1"/>
        <v>11121.652284812812</v>
      </c>
    </row>
    <row r="27" spans="1:25" x14ac:dyDescent="0.25">
      <c r="A27" s="1">
        <v>89.47</v>
      </c>
      <c r="B27" s="1">
        <f t="shared" si="4"/>
        <v>6.125</v>
      </c>
      <c r="C27" s="1">
        <v>5</v>
      </c>
      <c r="D27" s="1">
        <f t="shared" si="5"/>
        <v>2.5</v>
      </c>
      <c r="E27" s="1">
        <f t="shared" si="6"/>
        <v>2.14</v>
      </c>
      <c r="F27" s="1">
        <v>7216</v>
      </c>
      <c r="G27" s="1">
        <v>120</v>
      </c>
      <c r="H27" s="1">
        <v>1390</v>
      </c>
      <c r="I27" s="6">
        <f t="shared" si="7"/>
        <v>30000000</v>
      </c>
      <c r="J27" s="1">
        <v>19.5</v>
      </c>
      <c r="K27" s="5">
        <f t="shared" si="17"/>
        <v>14.207700519935999</v>
      </c>
      <c r="L27" s="1">
        <v>15000</v>
      </c>
      <c r="M27">
        <f t="shared" si="18"/>
        <v>426231015.59807998</v>
      </c>
      <c r="N27">
        <f t="shared" si="10"/>
        <v>2420992168.5970941</v>
      </c>
      <c r="O27" s="9">
        <f t="shared" si="19"/>
        <v>138.75169675195684</v>
      </c>
      <c r="P27">
        <f t="shared" si="20"/>
        <v>17448378.832621016</v>
      </c>
      <c r="Q27">
        <f t="shared" si="21"/>
        <v>2.5871275339005621E-2</v>
      </c>
      <c r="R27">
        <f t="shared" si="22"/>
        <v>1.1968038156577367E-4</v>
      </c>
      <c r="S27">
        <f t="shared" si="23"/>
        <v>2.3936076313154733E-4</v>
      </c>
      <c r="T27" s="1">
        <f t="shared" si="24"/>
        <v>5.7184851095403358E-9</v>
      </c>
      <c r="U27" s="1">
        <f t="shared" si="2"/>
        <v>17.990400000000001</v>
      </c>
      <c r="V27">
        <v>1499.2</v>
      </c>
      <c r="W27">
        <f t="shared" si="25"/>
        <v>896.17801124294181</v>
      </c>
      <c r="X27">
        <f t="shared" si="0"/>
        <v>247.2215203428805</v>
      </c>
      <c r="Y27">
        <f t="shared" si="1"/>
        <v>24722.15203428805</v>
      </c>
    </row>
    <row r="28" spans="1:25" x14ac:dyDescent="0.25">
      <c r="A28" s="1">
        <v>89.55</v>
      </c>
      <c r="B28" s="1">
        <f t="shared" si="4"/>
        <v>6.125</v>
      </c>
      <c r="C28" s="1">
        <v>5</v>
      </c>
      <c r="D28" s="1">
        <f t="shared" si="5"/>
        <v>2.5</v>
      </c>
      <c r="E28" s="1">
        <f t="shared" si="6"/>
        <v>2.14</v>
      </c>
      <c r="F28" s="1">
        <v>7216</v>
      </c>
      <c r="G28" s="1">
        <v>120</v>
      </c>
      <c r="H28" s="1">
        <v>1390</v>
      </c>
      <c r="I28" s="6">
        <f t="shared" si="7"/>
        <v>30000000</v>
      </c>
      <c r="J28" s="1">
        <v>19.5</v>
      </c>
      <c r="K28" s="5">
        <f t="shared" si="17"/>
        <v>14.207700519935999</v>
      </c>
      <c r="L28" s="1">
        <v>15000</v>
      </c>
      <c r="M28">
        <f t="shared" si="18"/>
        <v>426231015.59807998</v>
      </c>
      <c r="N28">
        <f t="shared" si="10"/>
        <v>2420992168.5970941</v>
      </c>
      <c r="O28" s="9">
        <f t="shared" si="19"/>
        <v>117.80851333067025</v>
      </c>
      <c r="P28">
        <f t="shared" si="20"/>
        <v>20550231.04995599</v>
      </c>
      <c r="Q28">
        <f t="shared" si="21"/>
        <v>2.807720272059383E-2</v>
      </c>
      <c r="R28">
        <f t="shared" si="22"/>
        <v>1.1027883043918114E-4</v>
      </c>
      <c r="S28">
        <f t="shared" si="23"/>
        <v>2.2055766087836229E-4</v>
      </c>
      <c r="T28" s="1">
        <f t="shared" si="24"/>
        <v>5.7185533960709613E-9</v>
      </c>
      <c r="U28" s="1">
        <f t="shared" si="2"/>
        <v>18.128400000000003</v>
      </c>
      <c r="V28">
        <v>1510.7</v>
      </c>
      <c r="W28">
        <f t="shared" si="25"/>
        <v>1064.8735429908891</v>
      </c>
      <c r="X28">
        <f t="shared" si="0"/>
        <v>293.75821875610734</v>
      </c>
      <c r="Y28">
        <f t="shared" si="1"/>
        <v>29375.821875610734</v>
      </c>
    </row>
    <row r="29" spans="1:25" x14ac:dyDescent="0.25">
      <c r="A29" s="1">
        <v>64.537679963853364</v>
      </c>
      <c r="B29" s="1">
        <f t="shared" si="4"/>
        <v>6.125</v>
      </c>
      <c r="C29" s="1">
        <v>5</v>
      </c>
      <c r="D29" s="1">
        <f t="shared" si="5"/>
        <v>2.5</v>
      </c>
      <c r="E29" s="1">
        <f t="shared" si="6"/>
        <v>2.14</v>
      </c>
      <c r="F29" s="1">
        <v>7216</v>
      </c>
      <c r="G29" s="1">
        <v>120</v>
      </c>
      <c r="H29" s="1">
        <v>1390</v>
      </c>
      <c r="I29" s="6">
        <f t="shared" si="7"/>
        <v>30000000</v>
      </c>
      <c r="J29" s="1">
        <v>19.5</v>
      </c>
      <c r="K29" s="5">
        <f t="shared" ref="K29" si="26">(3.1416/4)*(POWER((D29),4)-POWER((E29),4))</f>
        <v>14.207700519935999</v>
      </c>
      <c r="L29" s="1">
        <v>15000</v>
      </c>
      <c r="M29">
        <f t="shared" ref="M29" si="27">I29*K29</f>
        <v>426231015.59807998</v>
      </c>
      <c r="N29">
        <f t="shared" si="10"/>
        <v>2420992168.5970941</v>
      </c>
      <c r="O29" s="9">
        <f t="shared" ref="O29" si="28">L29*COS(RADIANS(A29))</f>
        <v>6448.7614212332674</v>
      </c>
      <c r="P29">
        <f t="shared" ref="P29" si="29">N29/O29</f>
        <v>375419.71402845002</v>
      </c>
      <c r="Q29">
        <f t="shared" ref="Q29" si="30">(0.176*L29*SIN(RADIANS(A29))*POWER(N29,(1/2)))/(M29*POWER(O29,(1/2)))</f>
        <v>3.4264293158814585E-3</v>
      </c>
      <c r="R29">
        <f t="shared" ref="R29" si="31">(POWER(0.176*O29,(1/2)))/(2*POWER(M29,(1/2)))</f>
        <v>8.1590946051558224E-4</v>
      </c>
      <c r="S29">
        <f t="shared" ref="S29" si="32">(POWER(0.176*O29,(1/2)))/(POWER(M29,(1/2)))</f>
        <v>1.6318189210311645E-3</v>
      </c>
      <c r="T29" s="1">
        <f t="shared" ref="T29" si="33">0.5*J29*SIN(RADIANS(A29))/(4*M29)</f>
        <v>5.1632593168527838E-9</v>
      </c>
      <c r="U29" s="1">
        <f t="shared" si="2"/>
        <v>5.4</v>
      </c>
      <c r="V29">
        <v>450</v>
      </c>
      <c r="W29">
        <f t="shared" si="25"/>
        <v>3.6249927688035872</v>
      </c>
    </row>
    <row r="31" spans="1:25" x14ac:dyDescent="0.25">
      <c r="C31">
        <f>POWER(B27,2)-POWER(D28,2)</f>
        <v>31.265625</v>
      </c>
    </row>
    <row r="32" spans="1:25" x14ac:dyDescent="0.25">
      <c r="B32">
        <f>B28-D28</f>
        <v>3.625</v>
      </c>
      <c r="C32">
        <f>B32*0.7</f>
        <v>2.5374999999999996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Normal="100" workbookViewId="0">
      <selection activeCell="B14" sqref="B14"/>
    </sheetView>
  </sheetViews>
  <sheetFormatPr baseColWidth="10" defaultRowHeight="15" x14ac:dyDescent="0.25"/>
  <cols>
    <col min="2" max="2" width="15" bestFit="1" customWidth="1"/>
  </cols>
  <sheetData>
    <row r="1" spans="1:5" x14ac:dyDescent="0.25">
      <c r="A1" t="s">
        <v>25</v>
      </c>
      <c r="B1" t="s">
        <v>26</v>
      </c>
      <c r="C1" t="s">
        <v>27</v>
      </c>
    </row>
    <row r="2" spans="1:5" x14ac:dyDescent="0.25">
      <c r="A2">
        <v>0</v>
      </c>
      <c r="B2">
        <v>0</v>
      </c>
    </row>
    <row r="3" spans="1:5" x14ac:dyDescent="0.25">
      <c r="A3">
        <v>10</v>
      </c>
      <c r="B3">
        <v>0.41860000000000003</v>
      </c>
      <c r="D3">
        <f xml:space="preserve"> 0.0393*POWER(E3,2) - 0.8674*E3 + 2.5411</f>
        <v>99.999998538873214</v>
      </c>
      <c r="E3">
        <v>-39.970799478716856</v>
      </c>
    </row>
    <row r="4" spans="1:5" x14ac:dyDescent="0.25">
      <c r="A4">
        <v>20</v>
      </c>
      <c r="B4">
        <v>3.3717999999999999</v>
      </c>
    </row>
    <row r="5" spans="1:5" x14ac:dyDescent="0.25">
      <c r="A5">
        <v>25</v>
      </c>
      <c r="B5">
        <v>6.6128</v>
      </c>
    </row>
    <row r="6" spans="1:5" x14ac:dyDescent="0.25">
      <c r="A6">
        <v>30</v>
      </c>
      <c r="B6">
        <v>11.486700000000001</v>
      </c>
    </row>
    <row r="7" spans="1:5" x14ac:dyDescent="0.25">
      <c r="A7">
        <v>35</v>
      </c>
      <c r="B7">
        <v>18.368600000000001</v>
      </c>
    </row>
    <row r="8" spans="1:5" x14ac:dyDescent="0.25">
      <c r="A8">
        <v>40</v>
      </c>
      <c r="B8">
        <v>27.687999999999999</v>
      </c>
    </row>
    <row r="9" spans="1:5" x14ac:dyDescent="0.25">
      <c r="A9">
        <v>50</v>
      </c>
      <c r="B9">
        <v>55.953000000000003</v>
      </c>
    </row>
    <row r="10" spans="1:5" x14ac:dyDescent="0.25">
      <c r="A10">
        <v>55</v>
      </c>
      <c r="B10">
        <v>76.680000000000007</v>
      </c>
    </row>
    <row r="14" spans="1:5" x14ac:dyDescent="0.25">
      <c r="B14">
        <f xml:space="preserve"> 0.0393*POWER(70,2) - 0.8674*(70) + 2.5411</f>
        <v>134.39310000000003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"/>
  <sheetViews>
    <sheetView tabSelected="1" topLeftCell="AE1" zoomScaleNormal="100" workbookViewId="0">
      <selection activeCell="AL14" sqref="AJ3:AL14"/>
    </sheetView>
  </sheetViews>
  <sheetFormatPr baseColWidth="10" defaultRowHeight="15" x14ac:dyDescent="0.25"/>
  <cols>
    <col min="1" max="1" width="32.140625" bestFit="1" customWidth="1"/>
    <col min="2" max="2" width="17.5703125" bestFit="1" customWidth="1"/>
    <col min="3" max="3" width="19.140625" bestFit="1" customWidth="1"/>
    <col min="4" max="4" width="35" bestFit="1" customWidth="1"/>
    <col min="5" max="5" width="29.5703125" bestFit="1" customWidth="1"/>
    <col min="6" max="6" width="13.85546875" bestFit="1" customWidth="1"/>
    <col min="8" max="8" width="13.7109375" bestFit="1" customWidth="1"/>
    <col min="10" max="10" width="40.5703125" bestFit="1" customWidth="1"/>
    <col min="11" max="11" width="40.5703125" customWidth="1"/>
    <col min="18" max="18" width="16.140625" bestFit="1" customWidth="1"/>
    <col min="19" max="19" width="17.42578125" bestFit="1" customWidth="1"/>
    <col min="25" max="25" width="12" bestFit="1" customWidth="1"/>
    <col min="32" max="32" width="18.7109375" bestFit="1" customWidth="1"/>
    <col min="33" max="33" width="19.140625" bestFit="1" customWidth="1"/>
    <col min="34" max="34" width="19.140625" customWidth="1"/>
    <col min="36" max="36" width="19.85546875" bestFit="1" customWidth="1"/>
    <col min="37" max="37" width="18" bestFit="1" customWidth="1"/>
    <col min="38" max="38" width="23.28515625" bestFit="1" customWidth="1"/>
  </cols>
  <sheetData>
    <row r="1" spans="1:38" x14ac:dyDescent="0.25">
      <c r="A1" t="s">
        <v>28</v>
      </c>
    </row>
    <row r="3" spans="1:38" x14ac:dyDescent="0.25">
      <c r="B3" s="10" t="s">
        <v>29</v>
      </c>
      <c r="C3" s="10" t="s">
        <v>30</v>
      </c>
      <c r="D3" s="11" t="s">
        <v>31</v>
      </c>
      <c r="E3" s="12" t="s">
        <v>38</v>
      </c>
      <c r="F3" s="12" t="s">
        <v>32</v>
      </c>
      <c r="G3" s="12" t="s">
        <v>33</v>
      </c>
      <c r="H3" s="12" t="s">
        <v>34</v>
      </c>
      <c r="I3" s="12" t="s">
        <v>35</v>
      </c>
      <c r="J3" s="12" t="s">
        <v>37</v>
      </c>
      <c r="K3" s="12" t="s">
        <v>47</v>
      </c>
      <c r="L3" s="12" t="s">
        <v>39</v>
      </c>
      <c r="M3" s="12" t="s">
        <v>40</v>
      </c>
      <c r="N3" s="12" t="s">
        <v>41</v>
      </c>
      <c r="O3" s="12" t="s">
        <v>36</v>
      </c>
      <c r="P3" s="12" t="s">
        <v>42</v>
      </c>
      <c r="Q3" s="12" t="s">
        <v>43</v>
      </c>
      <c r="R3" s="12" t="s">
        <v>44</v>
      </c>
      <c r="S3" s="12" t="s">
        <v>45</v>
      </c>
      <c r="T3" s="12" t="s">
        <v>46</v>
      </c>
      <c r="U3" s="12" t="s">
        <v>17</v>
      </c>
      <c r="V3" s="12" t="s">
        <v>48</v>
      </c>
      <c r="W3" s="12" t="s">
        <v>49</v>
      </c>
      <c r="X3" s="12" t="s">
        <v>50</v>
      </c>
      <c r="Y3" s="12" t="s">
        <v>9</v>
      </c>
      <c r="Z3" s="12" t="s">
        <v>51</v>
      </c>
      <c r="AA3" s="12" t="s">
        <v>52</v>
      </c>
      <c r="AB3" s="5" t="s">
        <v>53</v>
      </c>
      <c r="AE3" s="1" t="s">
        <v>55</v>
      </c>
      <c r="AF3" t="s">
        <v>54</v>
      </c>
      <c r="AG3" t="s">
        <v>56</v>
      </c>
      <c r="AJ3" s="13" t="s">
        <v>29</v>
      </c>
      <c r="AK3" s="14" t="s">
        <v>54</v>
      </c>
      <c r="AL3" s="14" t="s">
        <v>56</v>
      </c>
    </row>
    <row r="4" spans="1:38" x14ac:dyDescent="0.25">
      <c r="B4" s="1">
        <v>9.67</v>
      </c>
      <c r="C4">
        <f t="shared" ref="C4:C21" si="0">B4*PI()/180</f>
        <v>0.16877333866785166</v>
      </c>
      <c r="D4">
        <f t="shared" ref="D4:D21" si="1">30*10^6</f>
        <v>30000000</v>
      </c>
      <c r="E4">
        <f t="shared" ref="E4:E21" si="2">(PI()/4)*(I4^4-J4^4)</f>
        <v>14.207667296229571</v>
      </c>
      <c r="F4">
        <v>12.25</v>
      </c>
      <c r="G4">
        <v>5</v>
      </c>
      <c r="H4">
        <f t="shared" ref="H4:H21" si="3">F4/2</f>
        <v>6.125</v>
      </c>
      <c r="I4">
        <f t="shared" ref="I4:I21" si="4">G4/2</f>
        <v>2.5</v>
      </c>
      <c r="J4">
        <f t="shared" ref="J4:J21" si="5">4.28/2</f>
        <v>2.14</v>
      </c>
      <c r="K4">
        <v>19.5</v>
      </c>
      <c r="L4">
        <v>27.3</v>
      </c>
      <c r="M4">
        <f t="shared" ref="M4:M21" si="6">L4*12/1000</f>
        <v>0.3276</v>
      </c>
      <c r="N4">
        <f t="shared" ref="N4:N21" si="7">D4*E4</f>
        <v>426230018.88688713</v>
      </c>
      <c r="O4">
        <v>20000</v>
      </c>
      <c r="P4">
        <f t="shared" ref="P4:P21" si="8">O4*COS(C4)</f>
        <v>19715.831095991318</v>
      </c>
      <c r="Q4">
        <f t="shared" ref="Q4:Q21" si="9">O4*SIN(C4)</f>
        <v>3359.4648672581543</v>
      </c>
      <c r="R4">
        <f t="shared" ref="R4:R21" si="10">0.176*P4</f>
        <v>3469.9862728944718</v>
      </c>
      <c r="S4">
        <f t="shared" ref="S4:S21" si="11">0.176*Q4</f>
        <v>591.26581663743514</v>
      </c>
      <c r="T4">
        <f t="shared" ref="T4:T21" si="12">5.68*D4*E4</f>
        <v>2420986507.2775187</v>
      </c>
      <c r="U4">
        <f t="shared" ref="U4:U21" si="13">T4/P4</f>
        <v>122794.03771975715</v>
      </c>
      <c r="V4">
        <f t="shared" ref="V4:V21" si="14">(S4*T4^0.5)/(N4*P4^0.5)</f>
        <v>4.8610196674821475E-4</v>
      </c>
      <c r="W4">
        <f t="shared" ref="W4:W21" si="15">(M4*R4^0.5)/(2*N4^0.5)</f>
        <v>4.673645407905598E-4</v>
      </c>
      <c r="X4">
        <f t="shared" ref="X4:X21" si="16">(R4^0.5)/(N4^0.5)</f>
        <v>2.8532633747897422E-3</v>
      </c>
      <c r="Y4">
        <f t="shared" ref="Y4:Y21" si="17">(0.5*M4^2*K4*SIN(C4))/(4*N4)</f>
        <v>1.0309283561110836E-10</v>
      </c>
      <c r="Z4">
        <f t="shared" ref="Z4:Z21" si="18">U4*(V4*(SINH(W4)-X4)+Y4)</f>
        <v>-0.14240265100935448</v>
      </c>
      <c r="AA4">
        <f t="shared" ref="AA4:AA21" si="19">Z4/(H4-I4)</f>
        <v>-3.928348993361503E-2</v>
      </c>
      <c r="AB4">
        <f t="shared" ref="AB4:AB21" si="20">AA4*100</f>
        <v>-3.928348993361503</v>
      </c>
      <c r="AE4" s="1">
        <v>9.67</v>
      </c>
      <c r="AF4">
        <v>-3.9282325940617495</v>
      </c>
      <c r="AG4">
        <v>-3.928348993361503</v>
      </c>
      <c r="AJ4" s="15">
        <v>9.67</v>
      </c>
      <c r="AK4" s="14">
        <v>-3.9282325940617495</v>
      </c>
      <c r="AL4" s="14">
        <v>-3.928348993361503</v>
      </c>
    </row>
    <row r="5" spans="1:38" x14ac:dyDescent="0.25">
      <c r="B5" s="1">
        <v>11.5</v>
      </c>
      <c r="C5">
        <f t="shared" si="0"/>
        <v>0.20071286397934787</v>
      </c>
      <c r="D5">
        <f t="shared" si="1"/>
        <v>30000000</v>
      </c>
      <c r="E5">
        <f t="shared" si="2"/>
        <v>14.207667296229571</v>
      </c>
      <c r="F5">
        <v>12.25</v>
      </c>
      <c r="G5">
        <v>5</v>
      </c>
      <c r="H5">
        <f t="shared" si="3"/>
        <v>6.125</v>
      </c>
      <c r="I5">
        <f t="shared" si="4"/>
        <v>2.5</v>
      </c>
      <c r="J5">
        <f t="shared" si="5"/>
        <v>2.14</v>
      </c>
      <c r="K5">
        <v>19.5</v>
      </c>
      <c r="L5">
        <v>36.299999999999997</v>
      </c>
      <c r="M5">
        <f t="shared" si="6"/>
        <v>0.43559999999999999</v>
      </c>
      <c r="N5">
        <f t="shared" si="7"/>
        <v>426230018.88688713</v>
      </c>
      <c r="O5">
        <v>20000</v>
      </c>
      <c r="P5">
        <f t="shared" si="8"/>
        <v>19598.494092416593</v>
      </c>
      <c r="Q5">
        <f t="shared" si="9"/>
        <v>3987.3586883439434</v>
      </c>
      <c r="R5">
        <f t="shared" si="10"/>
        <v>3449.3349602653202</v>
      </c>
      <c r="S5">
        <f t="shared" si="11"/>
        <v>701.77512914853401</v>
      </c>
      <c r="T5">
        <f t="shared" si="12"/>
        <v>2420986507.2775187</v>
      </c>
      <c r="U5">
        <f t="shared" si="13"/>
        <v>123529.21075779446</v>
      </c>
      <c r="V5">
        <f t="shared" si="14"/>
        <v>5.786803997703951E-4</v>
      </c>
      <c r="W5">
        <f t="shared" si="15"/>
        <v>6.1958877890654822E-4</v>
      </c>
      <c r="X5">
        <f t="shared" si="16"/>
        <v>2.8447602337307084E-3</v>
      </c>
      <c r="Y5">
        <f t="shared" si="17"/>
        <v>2.1633741823271607E-10</v>
      </c>
      <c r="Z5">
        <f t="shared" si="18"/>
        <v>-0.15903728050967933</v>
      </c>
      <c r="AA5">
        <f t="shared" si="19"/>
        <v>-4.3872353244049471E-2</v>
      </c>
      <c r="AB5">
        <f t="shared" si="20"/>
        <v>-4.3872353244049469</v>
      </c>
      <c r="AE5" s="1">
        <v>11.5</v>
      </c>
      <c r="AF5">
        <v>-4.3869896061043638</v>
      </c>
      <c r="AG5">
        <v>-4.3872353244049469</v>
      </c>
      <c r="AJ5" s="15">
        <v>11.5</v>
      </c>
      <c r="AK5" s="14">
        <v>-4.3869896061043638</v>
      </c>
      <c r="AL5" s="14">
        <v>-4.3872353244049469</v>
      </c>
    </row>
    <row r="6" spans="1:38" x14ac:dyDescent="0.25">
      <c r="B6" s="1">
        <v>14.48</v>
      </c>
      <c r="C6">
        <f t="shared" si="0"/>
        <v>0.2527236756887789</v>
      </c>
      <c r="D6">
        <f t="shared" si="1"/>
        <v>30000000</v>
      </c>
      <c r="E6">
        <f t="shared" si="2"/>
        <v>14.207667296229571</v>
      </c>
      <c r="F6">
        <v>12.25</v>
      </c>
      <c r="G6">
        <v>5</v>
      </c>
      <c r="H6">
        <f t="shared" si="3"/>
        <v>6.125</v>
      </c>
      <c r="I6">
        <f t="shared" si="4"/>
        <v>2.5</v>
      </c>
      <c r="J6">
        <f t="shared" si="5"/>
        <v>2.14</v>
      </c>
      <c r="K6">
        <v>19.5</v>
      </c>
      <c r="L6">
        <v>45.3</v>
      </c>
      <c r="M6">
        <f t="shared" si="6"/>
        <v>0.54359999999999986</v>
      </c>
      <c r="N6">
        <f t="shared" si="7"/>
        <v>426230018.88688713</v>
      </c>
      <c r="O6">
        <v>20000</v>
      </c>
      <c r="P6">
        <f t="shared" si="8"/>
        <v>19364.699610048887</v>
      </c>
      <c r="Q6">
        <f t="shared" si="9"/>
        <v>5000.8408305576422</v>
      </c>
      <c r="R6">
        <f t="shared" si="10"/>
        <v>3408.1871313686038</v>
      </c>
      <c r="S6">
        <f t="shared" si="11"/>
        <v>880.14798617814495</v>
      </c>
      <c r="T6">
        <f t="shared" si="12"/>
        <v>2420986507.2775187</v>
      </c>
      <c r="U6">
        <f t="shared" si="13"/>
        <v>125020.60739538664</v>
      </c>
      <c r="V6">
        <f t="shared" si="14"/>
        <v>7.3013382509433259E-4</v>
      </c>
      <c r="W6">
        <f t="shared" si="15"/>
        <v>7.6858012889791322E-4</v>
      </c>
      <c r="X6">
        <f t="shared" si="16"/>
        <v>2.8277414602572238E-3</v>
      </c>
      <c r="Y6">
        <f t="shared" si="17"/>
        <v>4.2254456828960971E-10</v>
      </c>
      <c r="Z6">
        <f t="shared" si="18"/>
        <v>-0.18791106619669581</v>
      </c>
      <c r="AA6">
        <f t="shared" si="19"/>
        <v>-5.1837535502536773E-2</v>
      </c>
      <c r="AB6">
        <f t="shared" si="20"/>
        <v>-5.1837535502536776</v>
      </c>
      <c r="AE6" s="1">
        <v>14.48</v>
      </c>
      <c r="AF6">
        <v>-5.1832678344081629</v>
      </c>
      <c r="AG6">
        <v>-5.1837535502536776</v>
      </c>
      <c r="AJ6" s="15">
        <v>14.48</v>
      </c>
      <c r="AK6" s="14">
        <v>-5.1832678344081629</v>
      </c>
      <c r="AL6" s="14">
        <v>-5.1837535502536776</v>
      </c>
    </row>
    <row r="7" spans="1:38" x14ac:dyDescent="0.25">
      <c r="B7" s="1">
        <v>21.1</v>
      </c>
      <c r="C7">
        <f t="shared" si="0"/>
        <v>0.36826447217080355</v>
      </c>
      <c r="D7">
        <f t="shared" si="1"/>
        <v>30000000</v>
      </c>
      <c r="E7">
        <f t="shared" si="2"/>
        <v>14.207667296229571</v>
      </c>
      <c r="F7">
        <v>12.25</v>
      </c>
      <c r="G7">
        <v>5</v>
      </c>
      <c r="H7">
        <f t="shared" si="3"/>
        <v>6.125</v>
      </c>
      <c r="I7">
        <f t="shared" si="4"/>
        <v>2.5</v>
      </c>
      <c r="J7">
        <f t="shared" si="5"/>
        <v>2.14</v>
      </c>
      <c r="K7">
        <v>19.5</v>
      </c>
      <c r="L7">
        <v>72.099999999999994</v>
      </c>
      <c r="M7">
        <f t="shared" si="6"/>
        <v>0.86519999999999997</v>
      </c>
      <c r="N7">
        <f t="shared" si="7"/>
        <v>426230018.88688713</v>
      </c>
      <c r="O7">
        <v>20000</v>
      </c>
      <c r="P7">
        <f t="shared" si="8"/>
        <v>18659.070696509782</v>
      </c>
      <c r="Q7">
        <f t="shared" si="9"/>
        <v>7199.9361624010235</v>
      </c>
      <c r="R7">
        <f t="shared" si="10"/>
        <v>3283.9964425857215</v>
      </c>
      <c r="S7">
        <f t="shared" si="11"/>
        <v>1267.18876458258</v>
      </c>
      <c r="T7">
        <f t="shared" si="12"/>
        <v>2420986507.2775187</v>
      </c>
      <c r="U7">
        <f t="shared" si="13"/>
        <v>129748.50391291831</v>
      </c>
      <c r="V7">
        <f t="shared" si="14"/>
        <v>1.0708988686014291E-3</v>
      </c>
      <c r="W7">
        <f t="shared" si="15"/>
        <v>1.2007866127921427E-3</v>
      </c>
      <c r="X7">
        <f t="shared" si="16"/>
        <v>2.7757434414982492E-3</v>
      </c>
      <c r="Y7">
        <f t="shared" si="17"/>
        <v>1.5411051180240606E-9</v>
      </c>
      <c r="Z7">
        <f t="shared" si="18"/>
        <v>-0.21863635879428367</v>
      </c>
      <c r="AA7">
        <f t="shared" si="19"/>
        <v>-6.0313478288078252E-2</v>
      </c>
      <c r="AB7">
        <f t="shared" si="20"/>
        <v>-6.0313478288078253</v>
      </c>
      <c r="AE7" s="1">
        <v>21.1</v>
      </c>
      <c r="AF7">
        <v>-6.0295094287001731</v>
      </c>
      <c r="AG7">
        <v>-6.0313478288078253</v>
      </c>
      <c r="AJ7" s="15">
        <v>21.1</v>
      </c>
      <c r="AK7" s="14">
        <v>-6.0295094287001731</v>
      </c>
      <c r="AL7" s="14">
        <v>-6.0313478288078253</v>
      </c>
    </row>
    <row r="8" spans="1:38" x14ac:dyDescent="0.25">
      <c r="B8" s="1">
        <v>27.72</v>
      </c>
      <c r="C8">
        <f t="shared" si="0"/>
        <v>0.48380526865282814</v>
      </c>
      <c r="D8">
        <f t="shared" si="1"/>
        <v>30000000</v>
      </c>
      <c r="E8">
        <f t="shared" si="2"/>
        <v>14.207667296229571</v>
      </c>
      <c r="F8">
        <v>12.25</v>
      </c>
      <c r="G8">
        <v>5</v>
      </c>
      <c r="H8">
        <f t="shared" si="3"/>
        <v>6.125</v>
      </c>
      <c r="I8">
        <f t="shared" si="4"/>
        <v>2.5</v>
      </c>
      <c r="J8">
        <f t="shared" si="5"/>
        <v>2.14</v>
      </c>
      <c r="K8">
        <v>19.5</v>
      </c>
      <c r="L8">
        <v>108.2</v>
      </c>
      <c r="M8">
        <f t="shared" si="6"/>
        <v>1.2984</v>
      </c>
      <c r="N8">
        <f t="shared" si="7"/>
        <v>426230018.88688713</v>
      </c>
      <c r="O8">
        <v>20000</v>
      </c>
      <c r="P8">
        <f t="shared" si="8"/>
        <v>17704.626226649107</v>
      </c>
      <c r="Q8">
        <f t="shared" si="9"/>
        <v>9303.021561549167</v>
      </c>
      <c r="R8">
        <f t="shared" si="10"/>
        <v>3116.0142158902427</v>
      </c>
      <c r="S8">
        <f t="shared" si="11"/>
        <v>1637.3317948326533</v>
      </c>
      <c r="T8">
        <f t="shared" si="12"/>
        <v>2420986507.2775187</v>
      </c>
      <c r="U8">
        <f t="shared" si="13"/>
        <v>136743.1583296255</v>
      </c>
      <c r="V8">
        <f t="shared" si="14"/>
        <v>1.420513826514013E-3</v>
      </c>
      <c r="W8">
        <f t="shared" si="15"/>
        <v>1.7553196301328215E-3</v>
      </c>
      <c r="X8">
        <f t="shared" si="16"/>
        <v>2.7038195165323808E-3</v>
      </c>
      <c r="Y8">
        <f t="shared" si="17"/>
        <v>4.4844753024624563E-9</v>
      </c>
      <c r="Z8">
        <f t="shared" si="18"/>
        <v>-0.18362848293779163</v>
      </c>
      <c r="AA8">
        <f t="shared" si="19"/>
        <v>-5.0656133224218379E-2</v>
      </c>
      <c r="AB8">
        <f t="shared" si="20"/>
        <v>-5.0656133224218376</v>
      </c>
      <c r="AE8" s="1">
        <v>27.72</v>
      </c>
      <c r="AF8">
        <v>-5.059975713257467</v>
      </c>
      <c r="AG8">
        <v>-5.0656133224218376</v>
      </c>
      <c r="AJ8" s="15">
        <v>27.72</v>
      </c>
      <c r="AK8" s="14">
        <v>-5.059975713257467</v>
      </c>
      <c r="AL8" s="14">
        <v>-5.0656133224218376</v>
      </c>
    </row>
    <row r="9" spans="1:38" x14ac:dyDescent="0.25">
      <c r="B9" s="1">
        <v>34.340000000000003</v>
      </c>
      <c r="C9">
        <f t="shared" si="0"/>
        <v>0.59934606513485278</v>
      </c>
      <c r="D9">
        <f t="shared" si="1"/>
        <v>30000000</v>
      </c>
      <c r="E9">
        <f t="shared" si="2"/>
        <v>14.207667296229571</v>
      </c>
      <c r="F9">
        <v>12.25</v>
      </c>
      <c r="G9">
        <v>5</v>
      </c>
      <c r="H9">
        <f t="shared" si="3"/>
        <v>6.125</v>
      </c>
      <c r="I9">
        <f t="shared" si="4"/>
        <v>2.5</v>
      </c>
      <c r="J9">
        <f t="shared" si="5"/>
        <v>2.14</v>
      </c>
      <c r="K9">
        <v>19.5</v>
      </c>
      <c r="L9">
        <v>152.9</v>
      </c>
      <c r="M9">
        <f t="shared" si="6"/>
        <v>1.8348000000000002</v>
      </c>
      <c r="N9">
        <f t="shared" si="7"/>
        <v>426230018.88688713</v>
      </c>
      <c r="O9">
        <v>20000</v>
      </c>
      <c r="P9">
        <f t="shared" si="8"/>
        <v>16514.093556271928</v>
      </c>
      <c r="Q9">
        <f t="shared" si="9"/>
        <v>11282.052739404209</v>
      </c>
      <c r="R9">
        <f t="shared" si="10"/>
        <v>2906.4804659038591</v>
      </c>
      <c r="S9">
        <f t="shared" si="11"/>
        <v>1985.6412821351407</v>
      </c>
      <c r="T9">
        <f t="shared" si="12"/>
        <v>2420986507.2775187</v>
      </c>
      <c r="U9">
        <f t="shared" si="13"/>
        <v>146601.23481970018</v>
      </c>
      <c r="V9">
        <f t="shared" si="14"/>
        <v>1.7837154507800385E-3</v>
      </c>
      <c r="W9">
        <f t="shared" si="15"/>
        <v>2.3956337528592462E-3</v>
      </c>
      <c r="X9">
        <f t="shared" si="16"/>
        <v>2.6113295758221559E-3</v>
      </c>
      <c r="Y9">
        <f t="shared" si="17"/>
        <v>1.0860159005289005E-8</v>
      </c>
      <c r="Z9">
        <f t="shared" si="18"/>
        <v>-5.4810643069906115E-2</v>
      </c>
      <c r="AA9">
        <f t="shared" si="19"/>
        <v>-1.5120177398594791E-2</v>
      </c>
      <c r="AB9">
        <f t="shared" si="20"/>
        <v>-1.5120177398594792</v>
      </c>
      <c r="AE9" s="1">
        <v>34.340000000000003</v>
      </c>
      <c r="AF9">
        <v>-1.4973817553185944</v>
      </c>
      <c r="AG9">
        <v>-1.5120177398594792</v>
      </c>
      <c r="AJ9" s="15">
        <v>34.340000000000003</v>
      </c>
      <c r="AK9" s="14">
        <v>-1.4973817553185944</v>
      </c>
      <c r="AL9" s="14">
        <v>-1.5120177398594792</v>
      </c>
    </row>
    <row r="10" spans="1:38" x14ac:dyDescent="0.25">
      <c r="B10" s="1">
        <v>40.97</v>
      </c>
      <c r="C10">
        <f t="shared" si="0"/>
        <v>0.71506139454207684</v>
      </c>
      <c r="D10">
        <f t="shared" si="1"/>
        <v>30000000</v>
      </c>
      <c r="E10">
        <f t="shared" si="2"/>
        <v>14.207667296229571</v>
      </c>
      <c r="F10">
        <v>12.25</v>
      </c>
      <c r="G10">
        <v>5</v>
      </c>
      <c r="H10">
        <f t="shared" si="3"/>
        <v>6.125</v>
      </c>
      <c r="I10">
        <f t="shared" si="4"/>
        <v>2.5</v>
      </c>
      <c r="J10">
        <f t="shared" si="5"/>
        <v>2.14</v>
      </c>
      <c r="K10">
        <v>19.5</v>
      </c>
      <c r="L10">
        <v>205.8</v>
      </c>
      <c r="M10">
        <f t="shared" si="6"/>
        <v>2.4696000000000002</v>
      </c>
      <c r="N10">
        <f t="shared" si="7"/>
        <v>426230018.88688713</v>
      </c>
      <c r="O10">
        <v>20000</v>
      </c>
      <c r="P10">
        <f t="shared" si="8"/>
        <v>15101.059769148394</v>
      </c>
      <c r="Q10">
        <f t="shared" si="9"/>
        <v>13113.275481305493</v>
      </c>
      <c r="R10">
        <f t="shared" si="10"/>
        <v>2657.7865193701173</v>
      </c>
      <c r="S10">
        <f t="shared" si="11"/>
        <v>2307.9364847097668</v>
      </c>
      <c r="T10">
        <f t="shared" si="12"/>
        <v>2420986507.2775187</v>
      </c>
      <c r="U10">
        <f t="shared" si="13"/>
        <v>160318.98054092977</v>
      </c>
      <c r="V10">
        <f t="shared" si="14"/>
        <v>2.1680649608826486E-3</v>
      </c>
      <c r="W10">
        <f t="shared" si="15"/>
        <v>3.0834339601376985E-3</v>
      </c>
      <c r="X10">
        <f t="shared" si="16"/>
        <v>2.497112050646014E-3</v>
      </c>
      <c r="Y10">
        <f t="shared" si="17"/>
        <v>2.2868359623363838E-8</v>
      </c>
      <c r="Z10">
        <f t="shared" si="18"/>
        <v>0.20746285138349305</v>
      </c>
      <c r="AA10">
        <f t="shared" si="19"/>
        <v>5.7231131416136012E-2</v>
      </c>
      <c r="AB10">
        <f t="shared" si="20"/>
        <v>5.7231131416136014</v>
      </c>
      <c r="AE10" s="1">
        <v>40.97</v>
      </c>
      <c r="AF10">
        <v>5.756813908404582</v>
      </c>
      <c r="AG10">
        <v>5.7231131416136014</v>
      </c>
      <c r="AJ10" s="15">
        <v>40.97</v>
      </c>
      <c r="AK10" s="14">
        <v>5.756813908404582</v>
      </c>
      <c r="AL10" s="14">
        <v>5.7231131416136014</v>
      </c>
    </row>
    <row r="11" spans="1:38" x14ac:dyDescent="0.25">
      <c r="B11" s="1">
        <v>47.59</v>
      </c>
      <c r="C11">
        <f t="shared" si="0"/>
        <v>0.83060219102410149</v>
      </c>
      <c r="D11">
        <f t="shared" si="1"/>
        <v>30000000</v>
      </c>
      <c r="E11">
        <f t="shared" si="2"/>
        <v>14.207667296229571</v>
      </c>
      <c r="F11">
        <v>12.25</v>
      </c>
      <c r="G11">
        <v>5</v>
      </c>
      <c r="H11">
        <f t="shared" si="3"/>
        <v>6.125</v>
      </c>
      <c r="I11">
        <f t="shared" si="4"/>
        <v>2.5</v>
      </c>
      <c r="J11">
        <f t="shared" si="5"/>
        <v>2.14</v>
      </c>
      <c r="K11">
        <v>19.5</v>
      </c>
      <c r="L11">
        <v>266.2</v>
      </c>
      <c r="M11">
        <f t="shared" si="6"/>
        <v>3.1943999999999995</v>
      </c>
      <c r="N11">
        <f t="shared" si="7"/>
        <v>426230018.88688713</v>
      </c>
      <c r="O11">
        <v>20000</v>
      </c>
      <c r="P11">
        <f t="shared" si="8"/>
        <v>13488.6252416717</v>
      </c>
      <c r="Q11">
        <f t="shared" si="9"/>
        <v>14766.752828219787</v>
      </c>
      <c r="R11">
        <f t="shared" si="10"/>
        <v>2373.9980425342192</v>
      </c>
      <c r="S11">
        <f t="shared" si="11"/>
        <v>2598.9484977666825</v>
      </c>
      <c r="T11">
        <f t="shared" si="12"/>
        <v>2420986507.2775187</v>
      </c>
      <c r="U11">
        <f t="shared" si="13"/>
        <v>179483.56217934898</v>
      </c>
      <c r="V11">
        <f t="shared" si="14"/>
        <v>2.5832472766045521E-3</v>
      </c>
      <c r="W11">
        <f t="shared" si="15"/>
        <v>3.7694454533045772E-3</v>
      </c>
      <c r="X11">
        <f t="shared" si="16"/>
        <v>2.3600334668824057E-3</v>
      </c>
      <c r="Y11">
        <f t="shared" si="17"/>
        <v>4.3085803387929588E-8</v>
      </c>
      <c r="Z11">
        <f t="shared" si="18"/>
        <v>0.66121179621006565</v>
      </c>
      <c r="AA11">
        <f t="shared" si="19"/>
        <v>0.18240325412691466</v>
      </c>
      <c r="AB11">
        <f t="shared" si="20"/>
        <v>18.240325412691465</v>
      </c>
      <c r="AE11" s="1">
        <v>47.59</v>
      </c>
      <c r="AF11">
        <v>18.311406694405875</v>
      </c>
      <c r="AG11">
        <v>18.240325412691465</v>
      </c>
      <c r="AJ11" s="15">
        <v>47.59</v>
      </c>
      <c r="AK11" s="14">
        <v>18.311406694405875</v>
      </c>
      <c r="AL11" s="14">
        <v>18.240325412691465</v>
      </c>
    </row>
    <row r="12" spans="1:38" x14ac:dyDescent="0.25">
      <c r="B12" s="1">
        <v>54.21</v>
      </c>
      <c r="C12">
        <f t="shared" si="0"/>
        <v>0.94614298750612613</v>
      </c>
      <c r="D12">
        <f t="shared" si="1"/>
        <v>30000000</v>
      </c>
      <c r="E12">
        <f t="shared" si="2"/>
        <v>14.207667296229571</v>
      </c>
      <c r="F12">
        <v>12.25</v>
      </c>
      <c r="G12">
        <v>5</v>
      </c>
      <c r="H12">
        <f t="shared" si="3"/>
        <v>6.125</v>
      </c>
      <c r="I12">
        <f t="shared" si="4"/>
        <v>2.5</v>
      </c>
      <c r="J12">
        <f t="shared" si="5"/>
        <v>2.14</v>
      </c>
      <c r="K12">
        <v>19.5</v>
      </c>
      <c r="L12">
        <v>333.1</v>
      </c>
      <c r="M12">
        <f t="shared" si="6"/>
        <v>3.9972000000000003</v>
      </c>
      <c r="N12">
        <f t="shared" si="7"/>
        <v>426230018.88688713</v>
      </c>
      <c r="O12">
        <v>20000</v>
      </c>
      <c r="P12">
        <f t="shared" si="8"/>
        <v>11696.322174753352</v>
      </c>
      <c r="Q12">
        <f t="shared" si="9"/>
        <v>16223.318020194669</v>
      </c>
      <c r="R12">
        <f t="shared" si="10"/>
        <v>2058.55270275659</v>
      </c>
      <c r="S12">
        <f t="shared" si="11"/>
        <v>2855.3039715542614</v>
      </c>
      <c r="T12">
        <f t="shared" si="12"/>
        <v>2420986507.2775187</v>
      </c>
      <c r="U12">
        <f t="shared" si="13"/>
        <v>206986.98882485012</v>
      </c>
      <c r="V12">
        <f t="shared" si="14"/>
        <v>3.0477535051070133E-3</v>
      </c>
      <c r="W12">
        <f t="shared" si="15"/>
        <v>4.3922278516191461E-3</v>
      </c>
      <c r="X12">
        <f t="shared" si="16"/>
        <v>2.1976522824072578E-3</v>
      </c>
      <c r="Y12">
        <f t="shared" si="17"/>
        <v>7.4117717154381173E-8</v>
      </c>
      <c r="Z12">
        <f t="shared" si="18"/>
        <v>1.3997880408100776</v>
      </c>
      <c r="AA12">
        <f t="shared" si="19"/>
        <v>0.3861484250510559</v>
      </c>
      <c r="AB12">
        <f t="shared" si="20"/>
        <v>38.614842505105592</v>
      </c>
      <c r="AE12" s="1">
        <v>54.21</v>
      </c>
      <c r="AF12">
        <v>38.75585143727308</v>
      </c>
      <c r="AG12">
        <v>38.614842505105592</v>
      </c>
      <c r="AJ12" s="15">
        <v>54.21</v>
      </c>
      <c r="AK12" s="14">
        <v>38.75585143727308</v>
      </c>
      <c r="AL12" s="14">
        <v>38.614842505105592</v>
      </c>
    </row>
    <row r="13" spans="1:38" x14ac:dyDescent="0.25">
      <c r="B13" s="1">
        <v>60.84</v>
      </c>
      <c r="C13">
        <f t="shared" si="0"/>
        <v>1.0618583169133502</v>
      </c>
      <c r="D13">
        <f t="shared" si="1"/>
        <v>30000000</v>
      </c>
      <c r="E13">
        <f t="shared" si="2"/>
        <v>14.207667296229571</v>
      </c>
      <c r="F13">
        <v>12.25</v>
      </c>
      <c r="G13">
        <v>5</v>
      </c>
      <c r="H13">
        <f t="shared" si="3"/>
        <v>6.125</v>
      </c>
      <c r="I13">
        <f t="shared" si="4"/>
        <v>2.5</v>
      </c>
      <c r="J13">
        <f t="shared" si="5"/>
        <v>2.14</v>
      </c>
      <c r="K13">
        <v>19.5</v>
      </c>
      <c r="L13">
        <v>405.8</v>
      </c>
      <c r="M13">
        <f t="shared" si="6"/>
        <v>4.8696000000000002</v>
      </c>
      <c r="N13">
        <f t="shared" si="7"/>
        <v>426230018.88688713</v>
      </c>
      <c r="O13">
        <v>20000</v>
      </c>
      <c r="P13">
        <f t="shared" si="8"/>
        <v>9745.0025145066447</v>
      </c>
      <c r="Q13">
        <f t="shared" si="9"/>
        <v>17465.249096198404</v>
      </c>
      <c r="R13">
        <f t="shared" si="10"/>
        <v>1715.1204425531694</v>
      </c>
      <c r="S13">
        <f t="shared" si="11"/>
        <v>3073.8838409309187</v>
      </c>
      <c r="T13">
        <f t="shared" si="12"/>
        <v>2420986507.2775187</v>
      </c>
      <c r="U13">
        <f t="shared" si="13"/>
        <v>248433.64623801585</v>
      </c>
      <c r="V13">
        <f t="shared" si="14"/>
        <v>3.5945839046392543E-3</v>
      </c>
      <c r="W13">
        <f t="shared" si="15"/>
        <v>4.8841454423598982E-3</v>
      </c>
      <c r="X13">
        <f t="shared" si="16"/>
        <v>2.0059739782979703E-3</v>
      </c>
      <c r="Y13">
        <f t="shared" si="17"/>
        <v>1.1842188151607804E-7</v>
      </c>
      <c r="Z13">
        <f t="shared" si="18"/>
        <v>2.5996892978016799</v>
      </c>
      <c r="AA13">
        <f t="shared" si="19"/>
        <v>0.71715566835908406</v>
      </c>
      <c r="AB13">
        <f t="shared" si="20"/>
        <v>71.715566835908405</v>
      </c>
      <c r="AE13" s="1">
        <v>60.84</v>
      </c>
      <c r="AF13">
        <v>71.985975792780053</v>
      </c>
      <c r="AG13">
        <v>71.715566835908405</v>
      </c>
      <c r="AJ13" s="15">
        <v>60.84</v>
      </c>
      <c r="AK13" s="14">
        <v>71.985975792780053</v>
      </c>
      <c r="AL13" s="14">
        <v>71.715566835908405</v>
      </c>
    </row>
    <row r="14" spans="1:38" x14ac:dyDescent="0.25">
      <c r="B14" s="1">
        <v>67.459999999999994</v>
      </c>
      <c r="C14">
        <f t="shared" si="0"/>
        <v>1.1773991133953745</v>
      </c>
      <c r="D14">
        <f t="shared" si="1"/>
        <v>30000000</v>
      </c>
      <c r="E14">
        <f t="shared" si="2"/>
        <v>14.207667296229571</v>
      </c>
      <c r="F14">
        <v>12.25</v>
      </c>
      <c r="G14">
        <v>5</v>
      </c>
      <c r="H14">
        <f t="shared" si="3"/>
        <v>6.125</v>
      </c>
      <c r="I14">
        <f t="shared" si="4"/>
        <v>2.5</v>
      </c>
      <c r="J14">
        <f t="shared" si="5"/>
        <v>2.14</v>
      </c>
      <c r="K14">
        <v>19.5</v>
      </c>
      <c r="L14">
        <v>483.3</v>
      </c>
      <c r="M14">
        <f t="shared" si="6"/>
        <v>5.7996000000000008</v>
      </c>
      <c r="N14">
        <f t="shared" si="7"/>
        <v>426230018.88688713</v>
      </c>
      <c r="O14">
        <v>20000</v>
      </c>
      <c r="P14">
        <f t="shared" si="8"/>
        <v>7666.5665728886588</v>
      </c>
      <c r="Q14">
        <f t="shared" si="9"/>
        <v>18472.242879073085</v>
      </c>
      <c r="R14">
        <f t="shared" si="10"/>
        <v>1349.3157168284038</v>
      </c>
      <c r="S14">
        <f t="shared" si="11"/>
        <v>3251.1147467168626</v>
      </c>
      <c r="T14">
        <f t="shared" si="12"/>
        <v>2420986507.2775187</v>
      </c>
      <c r="U14">
        <f t="shared" si="13"/>
        <v>315784.97157239501</v>
      </c>
      <c r="V14">
        <f t="shared" si="14"/>
        <v>4.2863141071641095E-3</v>
      </c>
      <c r="W14">
        <f t="shared" si="15"/>
        <v>5.1594429944522117E-3</v>
      </c>
      <c r="X14">
        <f t="shared" si="16"/>
        <v>1.7792409802235365E-3</v>
      </c>
      <c r="Y14">
        <f t="shared" si="17"/>
        <v>1.7765862967243489E-7</v>
      </c>
      <c r="Z14">
        <f t="shared" si="18"/>
        <v>4.6314174413660059</v>
      </c>
      <c r="AA14">
        <f t="shared" si="19"/>
        <v>1.2776323976182085</v>
      </c>
      <c r="AB14">
        <f t="shared" si="20"/>
        <v>127.76323976182084</v>
      </c>
      <c r="AE14" s="1">
        <v>67.459999999999994</v>
      </c>
      <c r="AF14">
        <v>128.27890585400382</v>
      </c>
      <c r="AG14">
        <v>127.76323976182084</v>
      </c>
      <c r="AJ14" s="15">
        <v>70</v>
      </c>
      <c r="AK14" s="14">
        <v>100</v>
      </c>
      <c r="AL14" s="14">
        <v>100</v>
      </c>
    </row>
    <row r="15" spans="1:38" x14ac:dyDescent="0.25">
      <c r="B15" s="1">
        <v>70</v>
      </c>
      <c r="C15">
        <f t="shared" si="0"/>
        <v>1.2217304763960306</v>
      </c>
      <c r="D15">
        <f t="shared" si="1"/>
        <v>30000000</v>
      </c>
      <c r="E15">
        <f t="shared" si="2"/>
        <v>14.207667296229571</v>
      </c>
      <c r="F15">
        <v>12.25</v>
      </c>
      <c r="G15">
        <v>5</v>
      </c>
      <c r="H15">
        <f t="shared" si="3"/>
        <v>6.125</v>
      </c>
      <c r="I15">
        <f t="shared" si="4"/>
        <v>2.5</v>
      </c>
      <c r="J15">
        <f t="shared" si="5"/>
        <v>2.14</v>
      </c>
      <c r="K15">
        <v>19.5</v>
      </c>
      <c r="L15">
        <v>513.9</v>
      </c>
      <c r="M15">
        <f t="shared" si="6"/>
        <v>6.1667999999999994</v>
      </c>
      <c r="N15">
        <f t="shared" si="7"/>
        <v>426230018.88688713</v>
      </c>
      <c r="O15">
        <v>20000</v>
      </c>
      <c r="P15">
        <f t="shared" si="8"/>
        <v>6840.4028665133765</v>
      </c>
      <c r="Q15">
        <f t="shared" si="9"/>
        <v>18793.852415718167</v>
      </c>
      <c r="R15">
        <f t="shared" si="10"/>
        <v>1203.9109045063542</v>
      </c>
      <c r="S15">
        <f t="shared" si="11"/>
        <v>3307.7180251663972</v>
      </c>
      <c r="T15">
        <f t="shared" si="12"/>
        <v>2420986507.2775187</v>
      </c>
      <c r="U15">
        <f t="shared" si="13"/>
        <v>353924.55013567355</v>
      </c>
      <c r="V15">
        <f t="shared" si="14"/>
        <v>4.6167864956253935E-3</v>
      </c>
      <c r="W15">
        <f t="shared" si="15"/>
        <v>5.1820908847140194E-3</v>
      </c>
      <c r="X15">
        <f t="shared" si="16"/>
        <v>1.6806417865713238E-3</v>
      </c>
      <c r="Y15">
        <f t="shared" si="17"/>
        <v>2.0436481900301136E-7</v>
      </c>
      <c r="Z15">
        <f t="shared" si="18"/>
        <v>5.7937147346767768</v>
      </c>
      <c r="AA15">
        <f t="shared" si="19"/>
        <v>1.5982661337039383</v>
      </c>
      <c r="AB15">
        <f t="shared" si="20"/>
        <v>159.82661337039383</v>
      </c>
      <c r="AE15" s="1">
        <v>70</v>
      </c>
      <c r="AF15">
        <v>160.49145293997896</v>
      </c>
      <c r="AG15">
        <v>159.82661337039383</v>
      </c>
      <c r="AI15">
        <v>64.868357905769969</v>
      </c>
      <c r="AJ15">
        <f>0.0000000105*AI15^6 - 0.000001831*AI15^5 + 0.0001323458*AI15^4 - 0.0044647682*AI15^3 + 0.0882699655*AI15^2 - 1.2002071729*AI15 + 2.4935052987</f>
        <v>100.00051128908615</v>
      </c>
    </row>
    <row r="16" spans="1:38" x14ac:dyDescent="0.25">
      <c r="B16" s="1">
        <v>70</v>
      </c>
      <c r="C16">
        <f t="shared" si="0"/>
        <v>1.2217304763960306</v>
      </c>
      <c r="D16">
        <f t="shared" si="1"/>
        <v>30000000</v>
      </c>
      <c r="E16">
        <f t="shared" si="2"/>
        <v>14.207667296229571</v>
      </c>
      <c r="F16">
        <v>12.25</v>
      </c>
      <c r="G16">
        <v>5</v>
      </c>
      <c r="H16">
        <f t="shared" si="3"/>
        <v>6.125</v>
      </c>
      <c r="I16">
        <f t="shared" si="4"/>
        <v>2.5</v>
      </c>
      <c r="J16">
        <f t="shared" si="5"/>
        <v>2.14</v>
      </c>
      <c r="K16">
        <v>19.5</v>
      </c>
      <c r="L16">
        <v>563.79999999999995</v>
      </c>
      <c r="M16">
        <f t="shared" si="6"/>
        <v>6.7655999999999992</v>
      </c>
      <c r="N16">
        <f t="shared" si="7"/>
        <v>426230018.88688713</v>
      </c>
      <c r="O16">
        <v>20000</v>
      </c>
      <c r="P16">
        <f t="shared" si="8"/>
        <v>6840.4028665133765</v>
      </c>
      <c r="Q16">
        <f t="shared" si="9"/>
        <v>18793.852415718167</v>
      </c>
      <c r="R16">
        <f t="shared" si="10"/>
        <v>1203.9109045063542</v>
      </c>
      <c r="S16">
        <f t="shared" si="11"/>
        <v>3307.7180251663972</v>
      </c>
      <c r="T16">
        <f t="shared" si="12"/>
        <v>2420986507.2775187</v>
      </c>
      <c r="U16">
        <f t="shared" si="13"/>
        <v>353924.55013567355</v>
      </c>
      <c r="V16">
        <f t="shared" si="14"/>
        <v>4.6167864956253935E-3</v>
      </c>
      <c r="W16">
        <f t="shared" si="15"/>
        <v>5.6852750356134732E-3</v>
      </c>
      <c r="X16">
        <f t="shared" si="16"/>
        <v>1.6806417865713238E-3</v>
      </c>
      <c r="Y16">
        <f t="shared" si="17"/>
        <v>2.4597957265545587E-7</v>
      </c>
      <c r="Z16">
        <f t="shared" si="18"/>
        <v>6.6306552895349737</v>
      </c>
      <c r="AA16">
        <f t="shared" si="19"/>
        <v>1.8291462867682686</v>
      </c>
      <c r="AB16">
        <f t="shared" si="20"/>
        <v>182.91462867682685</v>
      </c>
      <c r="AE16" s="1">
        <v>70</v>
      </c>
      <c r="AF16">
        <v>183.71481880414407</v>
      </c>
      <c r="AG16">
        <v>182.91462867682685</v>
      </c>
    </row>
    <row r="17" spans="2:33" x14ac:dyDescent="0.25">
      <c r="B17" s="1">
        <v>70</v>
      </c>
      <c r="C17">
        <f t="shared" si="0"/>
        <v>1.2217304763960306</v>
      </c>
      <c r="D17">
        <f t="shared" si="1"/>
        <v>30000000</v>
      </c>
      <c r="E17">
        <f t="shared" si="2"/>
        <v>14.207667296229571</v>
      </c>
      <c r="F17">
        <v>12.25</v>
      </c>
      <c r="G17">
        <v>5</v>
      </c>
      <c r="H17">
        <f t="shared" si="3"/>
        <v>6.125</v>
      </c>
      <c r="I17">
        <f t="shared" si="4"/>
        <v>2.5</v>
      </c>
      <c r="J17">
        <f t="shared" si="5"/>
        <v>2.14</v>
      </c>
      <c r="K17">
        <v>19.5</v>
      </c>
      <c r="L17">
        <v>635.20000000000005</v>
      </c>
      <c r="M17">
        <f t="shared" si="6"/>
        <v>7.6224000000000007</v>
      </c>
      <c r="N17">
        <f t="shared" si="7"/>
        <v>426230018.88688713</v>
      </c>
      <c r="O17">
        <v>20000</v>
      </c>
      <c r="P17">
        <f t="shared" si="8"/>
        <v>6840.4028665133765</v>
      </c>
      <c r="Q17">
        <f t="shared" si="9"/>
        <v>18793.852415718167</v>
      </c>
      <c r="R17">
        <f t="shared" si="10"/>
        <v>1203.9109045063542</v>
      </c>
      <c r="S17">
        <f t="shared" si="11"/>
        <v>3307.7180251663972</v>
      </c>
      <c r="T17">
        <f t="shared" si="12"/>
        <v>2420986507.2775187</v>
      </c>
      <c r="U17">
        <f t="shared" si="13"/>
        <v>353924.55013567355</v>
      </c>
      <c r="V17">
        <f t="shared" si="14"/>
        <v>4.6167864956253935E-3</v>
      </c>
      <c r="W17">
        <f t="shared" si="15"/>
        <v>6.4052619769806298E-3</v>
      </c>
      <c r="X17">
        <f t="shared" si="16"/>
        <v>1.6806417865713238E-3</v>
      </c>
      <c r="Y17">
        <f t="shared" si="17"/>
        <v>3.122265846255903E-7</v>
      </c>
      <c r="Z17">
        <f t="shared" si="18"/>
        <v>7.8305776582610189</v>
      </c>
      <c r="AA17">
        <f t="shared" si="19"/>
        <v>2.1601593540030395</v>
      </c>
      <c r="AB17">
        <f t="shared" si="20"/>
        <v>216.01593540030396</v>
      </c>
      <c r="AE17" s="1">
        <v>70</v>
      </c>
      <c r="AF17">
        <v>217.03157658116567</v>
      </c>
      <c r="AG17">
        <v>216.01593540030396</v>
      </c>
    </row>
    <row r="18" spans="2:33" x14ac:dyDescent="0.25">
      <c r="B18" s="1">
        <v>70.78</v>
      </c>
      <c r="C18">
        <f t="shared" si="0"/>
        <v>1.2353440445615864</v>
      </c>
      <c r="D18">
        <f t="shared" si="1"/>
        <v>30000000</v>
      </c>
      <c r="E18">
        <f t="shared" si="2"/>
        <v>14.207667296229571</v>
      </c>
      <c r="F18">
        <v>12.25</v>
      </c>
      <c r="G18">
        <v>5</v>
      </c>
      <c r="H18">
        <f t="shared" si="3"/>
        <v>6.125</v>
      </c>
      <c r="I18">
        <f t="shared" si="4"/>
        <v>2.5</v>
      </c>
      <c r="J18">
        <f t="shared" si="5"/>
        <v>2.14</v>
      </c>
      <c r="K18">
        <v>19.5</v>
      </c>
      <c r="L18">
        <v>644.70000000000005</v>
      </c>
      <c r="M18">
        <f t="shared" si="6"/>
        <v>7.7364000000000006</v>
      </c>
      <c r="N18">
        <f t="shared" si="7"/>
        <v>426230018.88688713</v>
      </c>
      <c r="O18">
        <v>20000</v>
      </c>
      <c r="P18">
        <f t="shared" si="8"/>
        <v>6583.9255247392139</v>
      </c>
      <c r="Q18">
        <f t="shared" si="9"/>
        <v>18885.230331788051</v>
      </c>
      <c r="R18">
        <f t="shared" si="10"/>
        <v>1158.7708923541015</v>
      </c>
      <c r="S18">
        <f t="shared" si="11"/>
        <v>3323.8005383946966</v>
      </c>
      <c r="T18">
        <f t="shared" si="12"/>
        <v>2420986507.2775187</v>
      </c>
      <c r="U18">
        <f t="shared" si="13"/>
        <v>367711.70909826062</v>
      </c>
      <c r="V18">
        <f t="shared" si="14"/>
        <v>4.7287314454266868E-3</v>
      </c>
      <c r="W18">
        <f t="shared" si="15"/>
        <v>6.3780172963894483E-3</v>
      </c>
      <c r="X18">
        <f t="shared" si="16"/>
        <v>1.6488333841035746E-3</v>
      </c>
      <c r="Y18">
        <f t="shared" si="17"/>
        <v>3.2319952507914909E-7</v>
      </c>
      <c r="Z18">
        <f t="shared" si="18"/>
        <v>8.3420713475866943</v>
      </c>
      <c r="AA18">
        <f t="shared" si="19"/>
        <v>2.3012610614032258</v>
      </c>
      <c r="AB18">
        <f t="shared" si="20"/>
        <v>230.12610614032258</v>
      </c>
      <c r="AE18" s="1">
        <v>70.78</v>
      </c>
      <c r="AF18">
        <v>231.21840827664201</v>
      </c>
      <c r="AG18">
        <v>230.12610614032258</v>
      </c>
    </row>
    <row r="19" spans="2:33" x14ac:dyDescent="0.25">
      <c r="B19" s="1">
        <v>77.430000000000007</v>
      </c>
      <c r="C19">
        <f t="shared" si="0"/>
        <v>1.3514084398192094</v>
      </c>
      <c r="D19">
        <f t="shared" si="1"/>
        <v>30000000</v>
      </c>
      <c r="E19">
        <f t="shared" si="2"/>
        <v>14.207667296229571</v>
      </c>
      <c r="F19">
        <v>12.25</v>
      </c>
      <c r="G19">
        <v>5</v>
      </c>
      <c r="H19">
        <f t="shared" si="3"/>
        <v>6.125</v>
      </c>
      <c r="I19">
        <f t="shared" si="4"/>
        <v>2.5</v>
      </c>
      <c r="J19">
        <f t="shared" si="5"/>
        <v>2.14</v>
      </c>
      <c r="K19">
        <v>19.5</v>
      </c>
      <c r="L19">
        <v>727.4</v>
      </c>
      <c r="M19">
        <f t="shared" si="6"/>
        <v>8.7287999999999997</v>
      </c>
      <c r="N19">
        <f t="shared" si="7"/>
        <v>426230018.88688713</v>
      </c>
      <c r="O19">
        <v>20000</v>
      </c>
      <c r="P19">
        <f t="shared" si="8"/>
        <v>4352.6444539130107</v>
      </c>
      <c r="Q19">
        <f t="shared" si="9"/>
        <v>19520.61695382142</v>
      </c>
      <c r="R19">
        <f t="shared" si="10"/>
        <v>766.06542388868979</v>
      </c>
      <c r="S19">
        <f t="shared" si="11"/>
        <v>3435.6285838725698</v>
      </c>
      <c r="T19">
        <f t="shared" si="12"/>
        <v>2420986507.2775187</v>
      </c>
      <c r="U19">
        <f t="shared" si="13"/>
        <v>556210.4906365741</v>
      </c>
      <c r="V19">
        <f t="shared" si="14"/>
        <v>6.0114849189549157E-3</v>
      </c>
      <c r="W19">
        <f t="shared" si="15"/>
        <v>5.8510722511330463E-3</v>
      </c>
      <c r="X19">
        <f t="shared" si="16"/>
        <v>1.3406361128982327E-3</v>
      </c>
      <c r="Y19">
        <f t="shared" si="17"/>
        <v>4.2527829728847208E-7</v>
      </c>
      <c r="Z19">
        <f t="shared" si="18"/>
        <v>15.317980076150334</v>
      </c>
      <c r="AA19">
        <f t="shared" si="19"/>
        <v>4.2256496761794029</v>
      </c>
      <c r="AB19">
        <f t="shared" si="20"/>
        <v>422.56496761794028</v>
      </c>
      <c r="AE19" s="1">
        <v>77.430000000000007</v>
      </c>
      <c r="AF19">
        <v>424.73931730600395</v>
      </c>
      <c r="AG19">
        <v>422.56496761794028</v>
      </c>
    </row>
    <row r="20" spans="2:33" x14ac:dyDescent="0.25">
      <c r="B20" s="1">
        <v>84.08</v>
      </c>
      <c r="C20">
        <f t="shared" si="0"/>
        <v>1.467472835076832</v>
      </c>
      <c r="D20">
        <f t="shared" si="1"/>
        <v>30000000</v>
      </c>
      <c r="E20">
        <f t="shared" si="2"/>
        <v>14.207667296229571</v>
      </c>
      <c r="F20">
        <v>12.25</v>
      </c>
      <c r="G20">
        <v>5</v>
      </c>
      <c r="H20">
        <f t="shared" si="3"/>
        <v>6.125</v>
      </c>
      <c r="I20">
        <f t="shared" si="4"/>
        <v>2.5</v>
      </c>
      <c r="J20">
        <f t="shared" si="5"/>
        <v>2.14</v>
      </c>
      <c r="K20">
        <v>19.5</v>
      </c>
      <c r="L20">
        <v>812.2</v>
      </c>
      <c r="M20">
        <f t="shared" si="6"/>
        <v>9.7464000000000013</v>
      </c>
      <c r="N20">
        <f t="shared" si="7"/>
        <v>426230018.88688713</v>
      </c>
      <c r="O20">
        <v>20000</v>
      </c>
      <c r="P20">
        <f t="shared" si="8"/>
        <v>2062.7949460493528</v>
      </c>
      <c r="Q20">
        <f t="shared" si="9"/>
        <v>19893.337503057479</v>
      </c>
      <c r="R20">
        <f t="shared" si="10"/>
        <v>363.05191050468608</v>
      </c>
      <c r="S20">
        <f t="shared" si="11"/>
        <v>3501.2274005381159</v>
      </c>
      <c r="T20">
        <f t="shared" si="12"/>
        <v>2420986507.2775187</v>
      </c>
      <c r="U20">
        <f t="shared" si="13"/>
        <v>1173643.8039632449</v>
      </c>
      <c r="V20">
        <f t="shared" si="14"/>
        <v>8.8990662604462728E-3</v>
      </c>
      <c r="W20">
        <f t="shared" si="15"/>
        <v>4.4975560268526926E-3</v>
      </c>
      <c r="X20">
        <f t="shared" si="16"/>
        <v>9.2291636437098659E-4</v>
      </c>
      <c r="Y20">
        <f t="shared" si="17"/>
        <v>5.4033949004028355E-7</v>
      </c>
      <c r="Z20">
        <f t="shared" si="18"/>
        <v>37.96905494434337</v>
      </c>
      <c r="AA20">
        <f t="shared" si="19"/>
        <v>10.474222053611964</v>
      </c>
      <c r="AB20">
        <f t="shared" si="20"/>
        <v>1047.4222053611963</v>
      </c>
      <c r="AE20" s="1">
        <v>84.08</v>
      </c>
      <c r="AF20">
        <v>1053.2525255501691</v>
      </c>
      <c r="AG20">
        <v>1047.4222053611963</v>
      </c>
    </row>
    <row r="21" spans="2:33" x14ac:dyDescent="0.25">
      <c r="B21" s="1">
        <v>85</v>
      </c>
      <c r="C21">
        <f t="shared" si="0"/>
        <v>1.4835298641951802</v>
      </c>
      <c r="D21">
        <f t="shared" si="1"/>
        <v>30000000</v>
      </c>
      <c r="E21">
        <f t="shared" si="2"/>
        <v>14.207667296229571</v>
      </c>
      <c r="F21">
        <v>12.25</v>
      </c>
      <c r="G21">
        <v>5</v>
      </c>
      <c r="H21">
        <f t="shared" si="3"/>
        <v>6.125</v>
      </c>
      <c r="I21">
        <f t="shared" si="4"/>
        <v>2.5</v>
      </c>
      <c r="J21">
        <f t="shared" si="5"/>
        <v>2.14</v>
      </c>
      <c r="K21">
        <v>19.5</v>
      </c>
      <c r="L21">
        <v>824.1</v>
      </c>
      <c r="M21">
        <f t="shared" si="6"/>
        <v>9.8892000000000007</v>
      </c>
      <c r="N21">
        <f t="shared" si="7"/>
        <v>426230018.88688713</v>
      </c>
      <c r="O21">
        <v>20000</v>
      </c>
      <c r="P21">
        <f t="shared" si="8"/>
        <v>1743.1148549531626</v>
      </c>
      <c r="Q21">
        <f t="shared" si="9"/>
        <v>19923.89396183491</v>
      </c>
      <c r="R21">
        <f t="shared" si="10"/>
        <v>306.78821447175659</v>
      </c>
      <c r="S21">
        <f t="shared" si="11"/>
        <v>3506.6053372829442</v>
      </c>
      <c r="T21">
        <f t="shared" si="12"/>
        <v>2420986507.2775187</v>
      </c>
      <c r="U21">
        <f t="shared" si="13"/>
        <v>1388885.2478069039</v>
      </c>
      <c r="V21">
        <f t="shared" si="14"/>
        <v>9.6956301093408109E-3</v>
      </c>
      <c r="W21">
        <f t="shared" si="15"/>
        <v>4.1949663721583255E-3</v>
      </c>
      <c r="X21">
        <f t="shared" si="16"/>
        <v>8.4839347412496988E-4</v>
      </c>
      <c r="Y21">
        <f t="shared" si="17"/>
        <v>5.5714358894113139E-7</v>
      </c>
      <c r="Z21">
        <f t="shared" si="18"/>
        <v>45.839318486657682</v>
      </c>
      <c r="AA21">
        <f t="shared" si="19"/>
        <v>12.645329237698672</v>
      </c>
      <c r="AB21">
        <f t="shared" si="20"/>
        <v>1264.5329237698672</v>
      </c>
      <c r="AE21" s="1">
        <v>85</v>
      </c>
      <c r="AF21">
        <v>1271.6472616966169</v>
      </c>
      <c r="AG21">
        <v>1264.5329237698672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Hoja4</vt:lpstr>
      <vt:lpstr>MONTADA NUEVAMENTE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</dc:creator>
  <cp:lastModifiedBy>Christian Brito</cp:lastModifiedBy>
  <dcterms:created xsi:type="dcterms:W3CDTF">2013-08-06T00:45:01Z</dcterms:created>
  <dcterms:modified xsi:type="dcterms:W3CDTF">2013-11-03T18:36:16Z</dcterms:modified>
</cp:coreProperties>
</file>