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jaroj\Desktop\CAUSAS Y RESPONSABLES DE LA INFLACIÓN\Anexos\"/>
    </mc:Choice>
  </mc:AlternateContent>
  <xr:revisionPtr revIDLastSave="0" documentId="13_ncr:1_{44EC6F58-B5D8-451C-ABAB-645220988357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#1. Regresión" sheetId="2" r:id="rId1"/>
    <sheet name="#2. INPC" sheetId="3" r:id="rId2"/>
    <sheet name="#3. Análisis" sheetId="4" r:id="rId3"/>
    <sheet name="#4. Liquidez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9" i="5"/>
  <c r="C8" i="5"/>
  <c r="C7" i="5"/>
  <c r="F84" i="4" l="1"/>
  <c r="F83" i="4"/>
  <c r="F82" i="4"/>
  <c r="F81" i="4"/>
  <c r="F80" i="4"/>
  <c r="F79" i="4"/>
  <c r="F78" i="4"/>
  <c r="F77" i="4"/>
  <c r="E84" i="4"/>
  <c r="E83" i="4"/>
  <c r="E82" i="4"/>
  <c r="E81" i="4"/>
  <c r="E80" i="4"/>
  <c r="E79" i="4"/>
  <c r="E78" i="4"/>
  <c r="E77" i="4"/>
  <c r="I72" i="4"/>
  <c r="H72" i="4"/>
  <c r="G72" i="4"/>
  <c r="F72" i="4"/>
  <c r="E72" i="4"/>
  <c r="D72" i="4"/>
  <c r="C72" i="4"/>
  <c r="J72" i="4"/>
  <c r="J71" i="4"/>
  <c r="I71" i="4"/>
  <c r="H71" i="4"/>
  <c r="G71" i="4"/>
  <c r="F71" i="4"/>
  <c r="E71" i="4"/>
  <c r="D71" i="4"/>
  <c r="C71" i="4"/>
  <c r="K63" i="4"/>
  <c r="J62" i="4"/>
  <c r="J63" i="4" s="1"/>
  <c r="J65" i="4" s="1"/>
  <c r="I62" i="4"/>
  <c r="I63" i="4" s="1"/>
  <c r="H62" i="4"/>
  <c r="H63" i="4" s="1"/>
  <c r="G62" i="4"/>
  <c r="G63" i="4" s="1"/>
  <c r="G64" i="4" s="1"/>
  <c r="F62" i="4"/>
  <c r="F63" i="4" s="1"/>
  <c r="E62" i="4"/>
  <c r="E63" i="4" s="1"/>
  <c r="D62" i="4"/>
  <c r="D63" i="4" s="1"/>
  <c r="C62" i="4"/>
  <c r="C63" i="4"/>
  <c r="D27" i="4"/>
  <c r="F35" i="4"/>
  <c r="D34" i="4"/>
  <c r="F34" i="4" s="1"/>
  <c r="D33" i="4"/>
  <c r="F33" i="4" s="1"/>
  <c r="D32" i="4"/>
  <c r="F32" i="4" s="1"/>
  <c r="D31" i="4"/>
  <c r="F31" i="4" s="1"/>
  <c r="D30" i="4"/>
  <c r="D29" i="4"/>
  <c r="D28" i="4"/>
  <c r="C34" i="4"/>
  <c r="C33" i="4"/>
  <c r="C32" i="4"/>
  <c r="C31" i="4"/>
  <c r="C30" i="4"/>
  <c r="B29" i="4"/>
  <c r="C29" i="4" s="1"/>
  <c r="B28" i="4"/>
  <c r="B27" i="4"/>
  <c r="A27" i="4"/>
  <c r="A28" i="4" s="1"/>
  <c r="A29" i="4" s="1"/>
  <c r="A30" i="4" s="1"/>
  <c r="A31" i="4" s="1"/>
  <c r="A32" i="4" s="1"/>
  <c r="A33" i="4" s="1"/>
  <c r="A34" i="4" s="1"/>
  <c r="A35" i="4" s="1"/>
  <c r="C31" i="2"/>
  <c r="C3" i="4"/>
  <c r="C4" i="4"/>
  <c r="C5" i="4"/>
  <c r="C6" i="4"/>
  <c r="C7" i="4"/>
  <c r="C8" i="4"/>
  <c r="C9" i="4"/>
  <c r="C10" i="4"/>
  <c r="D7" i="2"/>
  <c r="D22" i="4"/>
  <c r="D21" i="4"/>
  <c r="D20" i="4"/>
  <c r="D19" i="4"/>
  <c r="D18" i="4"/>
  <c r="D17" i="4"/>
  <c r="D16" i="4"/>
  <c r="A16" i="4"/>
  <c r="A17" i="4" s="1"/>
  <c r="A18" i="4" s="1"/>
  <c r="A19" i="4" s="1"/>
  <c r="A20" i="4" s="1"/>
  <c r="A21" i="4" s="1"/>
  <c r="A22" i="4" s="1"/>
  <c r="D15" i="4"/>
  <c r="C29" i="2"/>
  <c r="D12" i="2"/>
  <c r="F12" i="2" s="1"/>
  <c r="D11" i="2"/>
  <c r="D10" i="2"/>
  <c r="F10" i="2" s="1"/>
  <c r="D9" i="2"/>
  <c r="D8" i="2"/>
  <c r="D6" i="2"/>
  <c r="F6" i="2" s="1"/>
  <c r="D5" i="2"/>
  <c r="D101" i="3"/>
  <c r="D87" i="3"/>
  <c r="D73" i="3"/>
  <c r="D59" i="3"/>
  <c r="D45" i="3"/>
  <c r="D31" i="3"/>
  <c r="D17" i="3"/>
  <c r="D3" i="3"/>
  <c r="J1" i="2"/>
  <c r="J2" i="2" s="1"/>
  <c r="E21" i="2" s="1"/>
  <c r="A7" i="2"/>
  <c r="A8" i="2" s="1"/>
  <c r="A9" i="2" s="1"/>
  <c r="A10" i="2" s="1"/>
  <c r="A11" i="2" s="1"/>
  <c r="A12" i="2" s="1"/>
  <c r="A6" i="2"/>
  <c r="C13" i="2"/>
  <c r="F8" i="2"/>
  <c r="E25" i="2"/>
  <c r="H64" i="4" l="1"/>
  <c r="C65" i="4"/>
  <c r="I65" i="4"/>
  <c r="C28" i="4"/>
  <c r="D64" i="4"/>
  <c r="F29" i="4"/>
  <c r="E65" i="4"/>
  <c r="F65" i="4"/>
  <c r="D65" i="4"/>
  <c r="E64" i="4"/>
  <c r="F64" i="4"/>
  <c r="G65" i="4"/>
  <c r="H65" i="4"/>
  <c r="I64" i="4"/>
  <c r="C64" i="4"/>
  <c r="J64" i="4"/>
  <c r="E30" i="4"/>
  <c r="E29" i="4"/>
  <c r="E32" i="4"/>
  <c r="E33" i="4"/>
  <c r="F28" i="4"/>
  <c r="F30" i="4"/>
  <c r="E34" i="4"/>
  <c r="E28" i="4"/>
  <c r="E31" i="4"/>
  <c r="E27" i="4"/>
  <c r="D31" i="2"/>
  <c r="F27" i="4"/>
  <c r="C27" i="4"/>
  <c r="C14" i="2"/>
  <c r="H12" i="2" s="1"/>
  <c r="J12" i="2" s="1"/>
  <c r="E6" i="2"/>
  <c r="E10" i="2"/>
  <c r="E8" i="2"/>
  <c r="E12" i="2"/>
  <c r="H11" i="2"/>
  <c r="J11" i="2" s="1"/>
  <c r="H9" i="2"/>
  <c r="J9" i="2" s="1"/>
  <c r="H7" i="2"/>
  <c r="J7" i="2" s="1"/>
  <c r="H5" i="2"/>
  <c r="H10" i="2"/>
  <c r="J10" i="2" s="1"/>
  <c r="H8" i="2"/>
  <c r="J8" i="2" s="1"/>
  <c r="H6" i="2"/>
  <c r="J6" i="2" s="1"/>
  <c r="E5" i="2"/>
  <c r="E7" i="2"/>
  <c r="E9" i="2"/>
  <c r="E11" i="2"/>
  <c r="D13" i="2"/>
  <c r="D14" i="2" s="1"/>
  <c r="F5" i="2"/>
  <c r="F7" i="2"/>
  <c r="F9" i="2"/>
  <c r="F11" i="2"/>
  <c r="E22" i="2"/>
  <c r="E23" i="2"/>
  <c r="E24" i="2"/>
  <c r="G12" i="2" l="1"/>
  <c r="G10" i="2"/>
  <c r="G8" i="2"/>
  <c r="G6" i="2"/>
  <c r="H13" i="2"/>
  <c r="H14" i="2" s="1"/>
  <c r="J5" i="2"/>
  <c r="J13" i="2" s="1"/>
  <c r="G5" i="2"/>
  <c r="E13" i="2"/>
  <c r="G9" i="2"/>
  <c r="D29" i="2"/>
  <c r="L12" i="2"/>
  <c r="L10" i="2"/>
  <c r="L8" i="2"/>
  <c r="L6" i="2"/>
  <c r="L11" i="2"/>
  <c r="L9" i="2"/>
  <c r="L7" i="2"/>
  <c r="L5" i="2"/>
  <c r="G11" i="2"/>
  <c r="F13" i="2"/>
  <c r="G7" i="2"/>
  <c r="K11" i="2" l="1"/>
  <c r="I11" i="2"/>
  <c r="K8" i="2"/>
  <c r="I8" i="2"/>
  <c r="G13" i="2"/>
  <c r="G14" i="2" s="1"/>
  <c r="I5" i="2"/>
  <c r="K5" i="2"/>
  <c r="K7" i="2"/>
  <c r="I7" i="2"/>
  <c r="M8" i="2"/>
  <c r="N8" i="2" s="1"/>
  <c r="M10" i="2"/>
  <c r="N10" i="2" s="1"/>
  <c r="L13" i="2"/>
  <c r="L14" i="2" s="1"/>
  <c r="M5" i="2"/>
  <c r="O5" i="2" s="1"/>
  <c r="K10" i="2"/>
  <c r="I10" i="2"/>
  <c r="M9" i="2"/>
  <c r="N9" i="2" s="1"/>
  <c r="M11" i="2"/>
  <c r="N11" i="2" s="1"/>
  <c r="M6" i="2"/>
  <c r="N6" i="2" s="1"/>
  <c r="K6" i="2"/>
  <c r="I6" i="2"/>
  <c r="M12" i="2"/>
  <c r="N12" i="2" s="1"/>
  <c r="M7" i="2"/>
  <c r="N7" i="2" s="1"/>
  <c r="K9" i="2"/>
  <c r="I9" i="2"/>
  <c r="K12" i="2"/>
  <c r="I12" i="2"/>
  <c r="I13" i="2" l="1"/>
  <c r="E16" i="2" s="1"/>
  <c r="E17" i="2" s="1"/>
  <c r="E18" i="2" s="1"/>
  <c r="O8" i="2"/>
  <c r="K13" i="2"/>
  <c r="K14" i="2" s="1"/>
  <c r="O6" i="2"/>
  <c r="O10" i="2"/>
  <c r="O12" i="2"/>
  <c r="O9" i="2"/>
  <c r="O7" i="2"/>
  <c r="O11" i="2"/>
  <c r="N5" i="2"/>
  <c r="N13" i="2" s="1"/>
  <c r="N14" i="2" s="1"/>
  <c r="M13" i="2"/>
  <c r="M14" i="2" s="1"/>
  <c r="E19" i="2"/>
  <c r="E20" i="2" s="1"/>
  <c r="O13" i="2" l="1"/>
  <c r="O14" i="2" s="1"/>
</calcChain>
</file>

<file path=xl/sharedStrings.xml><?xml version="1.0" encoding="utf-8"?>
<sst xmlns="http://schemas.openxmlformats.org/spreadsheetml/2006/main" count="289" uniqueCount="125">
  <si>
    <t>Análisis de regresión</t>
  </si>
  <si>
    <t>N =</t>
  </si>
  <si>
    <t>g de l =</t>
  </si>
  <si>
    <t>INPC</t>
  </si>
  <si>
    <t>BM</t>
  </si>
  <si>
    <t>Ŷ</t>
  </si>
  <si>
    <t>N</t>
  </si>
  <si>
    <t xml:space="preserve"> (Y)</t>
  </si>
  <si>
    <t>(X)</t>
  </si>
  <si>
    <t>Desv de X</t>
  </si>
  <si>
    <t>Desv de Y</t>
  </si>
  <si>
    <t>Y estimada</t>
  </si>
  <si>
    <t>∑</t>
  </si>
  <si>
    <t>µ</t>
  </si>
  <si>
    <t>varianza (B1)</t>
  </si>
  <si>
    <t>error Std. (B1)</t>
  </si>
  <si>
    <t>varianza (Bo)</t>
  </si>
  <si>
    <t>error Std. (Bo)</t>
  </si>
  <si>
    <t>g de l</t>
  </si>
  <si>
    <t>N-2</t>
  </si>
  <si>
    <t>Correlación (r)</t>
  </si>
  <si>
    <t xml:space="preserve"> </t>
  </si>
  <si>
    <t>Bo</t>
  </si>
  <si>
    <t>media de Y - B1*media de X</t>
  </si>
  <si>
    <t>B1</t>
  </si>
  <si>
    <t>Proyecciones:</t>
  </si>
  <si>
    <t>Para x :</t>
  </si>
  <si>
    <t>Ŷ =</t>
  </si>
  <si>
    <t>xi</t>
  </si>
  <si>
    <t>yi</t>
  </si>
  <si>
    <t>Yi.Xi</t>
  </si>
  <si>
    <t>X2</t>
  </si>
  <si>
    <t>xi2</t>
  </si>
  <si>
    <t>yi2</t>
  </si>
  <si>
    <t>xi yi</t>
  </si>
  <si>
    <t>ei</t>
  </si>
  <si>
    <t>eI2</t>
  </si>
  <si>
    <t>Y estim x ei</t>
  </si>
  <si>
    <t>ê2</t>
  </si>
  <si>
    <t>∑e2/g de l</t>
  </si>
  <si>
    <t>ê2/∑xi2</t>
  </si>
  <si>
    <t>(var B1)1/2</t>
  </si>
  <si>
    <t>(∑X2/N*xi2)*e2</t>
  </si>
  <si>
    <t>(var Bo)1/2</t>
  </si>
  <si>
    <t>∑xiyi / ( (∑xi2)(∑yi2) )1/2</t>
  </si>
  <si>
    <t>Coef. de determinación (R2)</t>
  </si>
  <si>
    <t>R2</t>
  </si>
  <si>
    <t>∑ (desv X * desv Y) / ∑( desv X)2</t>
  </si>
  <si>
    <t>AÑOS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</si>
  <si>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</si>
  <si>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</si>
  <si>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</si>
  <si>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</si>
  <si>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</si>
  <si>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</si>
  <si>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</si>
  <si>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</si>
  <si>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</si>
  <si>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</si>
  <si>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</si>
  <si>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</si>
  <si>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</si>
  <si>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</si>
  <si>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</si>
  <si>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</si>
  <si>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</si>
  <si>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 xml:space="preserve">2014 </t>
  </si>
  <si>
    <t>2013</t>
  </si>
  <si>
    <t>2012</t>
  </si>
  <si>
    <t>VAR. %</t>
  </si>
  <si>
    <t>2017</t>
  </si>
  <si>
    <t>2016</t>
  </si>
  <si>
    <t xml:space="preserve">2013 </t>
  </si>
  <si>
    <t xml:space="preserve">2012 </t>
  </si>
  <si>
    <t>Var. % acumulada</t>
  </si>
  <si>
    <t>AÑOS:</t>
  </si>
  <si>
    <t>ÍNDICE NACIONAL DE PRECIOS AL CONSUMIDOR</t>
  </si>
  <si>
    <t>INPC resultante</t>
  </si>
  <si>
    <t>Bs.</t>
  </si>
  <si>
    <t>Var. %</t>
  </si>
  <si>
    <t>Títulos/BM</t>
  </si>
  <si>
    <t>Años</t>
  </si>
  <si>
    <t xml:space="preserve">Títulos emitidos por el BCV </t>
  </si>
  <si>
    <t xml:space="preserve">DINERO, LIQUIDEZ MONETARIA Y LIQUIDEZ AMPLIADA </t>
  </si>
  <si>
    <t>Monedas y Billetes (1)</t>
  </si>
  <si>
    <t>Depósitos a la Vista</t>
  </si>
  <si>
    <t>Depósitos de Ahorro Transferibles</t>
  </si>
  <si>
    <t>Dinero (M1)</t>
  </si>
  <si>
    <t>Dinero (Var. %)</t>
  </si>
  <si>
    <t>Depósitos de Ahorro no Transferibles</t>
  </si>
  <si>
    <t>Depósitos a Plazo (2)</t>
  </si>
  <si>
    <t>Certificados de Participación (3)</t>
  </si>
  <si>
    <t>Cuasidinero</t>
  </si>
  <si>
    <t>Liquidez Monetaria (M2)</t>
  </si>
  <si>
    <t>Liquidez Monetaria (Var. %)</t>
  </si>
  <si>
    <t>Cédulas Hipotecarias</t>
  </si>
  <si>
    <t>Liquidez Ampliada (M3)</t>
  </si>
  <si>
    <t>Liquidez Ampliada (Var. %)</t>
  </si>
  <si>
    <t>(Saldos en Bolívares)</t>
  </si>
  <si>
    <t>MULTIPLICADOR</t>
  </si>
  <si>
    <t>BASE</t>
  </si>
  <si>
    <t xml:space="preserve">2020 </t>
  </si>
  <si>
    <t>Variación</t>
  </si>
  <si>
    <t>Cambio Bs/USD</t>
  </si>
  <si>
    <t>Variación acumulada</t>
  </si>
  <si>
    <t>Variación anual</t>
  </si>
  <si>
    <t>Variación % acumulada</t>
  </si>
  <si>
    <t>(Saldos en millones de bolívares en 2019 y 2020, y en bolívares el resto de los años)</t>
  </si>
  <si>
    <t>Bs.MM</t>
  </si>
  <si>
    <t>%</t>
  </si>
  <si>
    <t>Fuente: Banco Central de Venezuela</t>
  </si>
  <si>
    <t>Gerencia de Estadísticas Económicas, Departamento de Estadísticas del Sector Financiero</t>
  </si>
  <si>
    <t>Notas:</t>
  </si>
  <si>
    <t>La información primaria proviene de los balances de comprobación e información complementaria de las instituciones financieras.</t>
  </si>
  <si>
    <t xml:space="preserve">A partir del mes de julio de 2006 se amplia la cobertura institucional, agregando los pasivos monetarios de los Bancos de Inversión, Arrendadoras Financieras y </t>
  </si>
  <si>
    <t xml:space="preserve">Fondos de Activos Líquidos a los pasivos monetarios de los Bancos Comerciales, Bancos Universales, Bancos Hipotecarios y Entidades de Ahorro y Préstamo. </t>
  </si>
  <si>
    <t xml:space="preserve">Para ese mismo mes, se presenta la información de los depósitos de ahorro discriminada por depósitos de ahorro transferibles a través de tarjetas de débito y no transferibles; </t>
  </si>
  <si>
    <t xml:space="preserve"> se incluyen los saldos por Certificados de Participación</t>
  </si>
  <si>
    <t>(1) Se refiere a las monedas y billetes puestos en circulación por parte del BCV menos las monedas y billetes de las instituciones financieras bancarias.</t>
  </si>
  <si>
    <t>(2) Incluye los bonos financieros y quirografarios.</t>
  </si>
  <si>
    <t>(3) Derechos y participaciones sobre títulos o valores e Inversiones cedidas.</t>
  </si>
  <si>
    <t>TIPOS DE CAMBIO</t>
  </si>
  <si>
    <t>EVOLUCIÓN DEL TIPO DE CAMBIO</t>
  </si>
  <si>
    <t>MULTIPLICADOR MONETARIO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</si>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</sst>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"/>
    <numFmt numFmtId="165" formatCode="#,##0;\(#,##0\)"/>
    <numFmt numFmtId="166" formatCode="0.0_);\(0.0\)"/>
    <numFmt numFmtId="167" formatCode="0.0%"/>
    <numFmt numFmtId="168" formatCode="&quot;$&quot;#,##0\ ;\(&quot;$&quot;#,##0\)"/>
    <numFmt numFmtId="169" formatCode="#,##0.00;\(#,##0.0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8"/>
      <name val="Helv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indexed="24"/>
      <name val="Arial"/>
      <family val="2"/>
    </font>
    <font>
      <sz val="18"/>
      <color indexed="24"/>
      <name val="Arial"/>
      <family val="2"/>
    </font>
    <font>
      <b/>
      <sz val="16"/>
      <color indexed="24"/>
      <name val="Times New Roman"/>
      <family val="1"/>
    </font>
    <font>
      <sz val="10"/>
      <name val="Courier"/>
      <family val="3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37" fontId="15" fillId="0" borderId="0"/>
    <xf numFmtId="0" fontId="20" fillId="0" borderId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3" fillId="0" borderId="0"/>
    <xf numFmtId="0" fontId="20" fillId="0" borderId="0"/>
    <xf numFmtId="3" fontId="20" fillId="0" borderId="0" applyFont="0" applyFill="0" applyBorder="0" applyAlignment="0" applyProtection="0"/>
    <xf numFmtId="0" fontId="20" fillId="0" borderId="31" applyNumberFormat="0" applyFont="0" applyFill="0" applyAlignment="0" applyProtection="0"/>
  </cellStyleXfs>
  <cellXfs count="24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4" fontId="5" fillId="0" borderId="0" xfId="3" applyNumberFormat="1" applyFont="1" applyAlignment="1">
      <alignment horizontal="center"/>
    </xf>
    <xf numFmtId="0" fontId="7" fillId="0" borderId="0" xfId="3" quotePrefix="1" applyFont="1" applyAlignment="1">
      <alignment horizontal="left"/>
    </xf>
    <xf numFmtId="164" fontId="5" fillId="0" borderId="0" xfId="3" applyNumberFormat="1" applyFont="1"/>
    <xf numFmtId="164" fontId="7" fillId="2" borderId="0" xfId="3" applyNumberFormat="1" applyFont="1" applyFill="1" applyAlignment="1">
      <alignment horizontal="center"/>
    </xf>
    <xf numFmtId="9" fontId="5" fillId="0" borderId="0" xfId="4" applyFont="1"/>
    <xf numFmtId="3" fontId="5" fillId="0" borderId="0" xfId="2" applyNumberFormat="1" applyFont="1"/>
    <xf numFmtId="164" fontId="8" fillId="0" borderId="0" xfId="3" applyNumberFormat="1" applyFont="1"/>
    <xf numFmtId="166" fontId="5" fillId="0" borderId="0" xfId="3" applyNumberFormat="1" applyFont="1" applyAlignment="1">
      <alignment horizontal="center"/>
    </xf>
    <xf numFmtId="164" fontId="9" fillId="0" borderId="0" xfId="3" applyNumberFormat="1" applyFont="1"/>
    <xf numFmtId="164" fontId="7" fillId="0" borderId="0" xfId="3" quotePrefix="1" applyNumberFormat="1" applyFont="1"/>
    <xf numFmtId="164" fontId="5" fillId="2" borderId="0" xfId="3" applyNumberFormat="1" applyFont="1" applyFill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164" fontId="3" fillId="0" borderId="0" xfId="3" applyNumberFormat="1" applyAlignment="1">
      <alignment horizontal="center"/>
    </xf>
    <xf numFmtId="166" fontId="5" fillId="0" borderId="0" xfId="3" applyNumberFormat="1" applyFont="1"/>
    <xf numFmtId="164" fontId="10" fillId="2" borderId="0" xfId="3" applyNumberFormat="1" applyFont="1" applyFill="1" applyAlignment="1">
      <alignment horizontal="center"/>
    </xf>
    <xf numFmtId="166" fontId="3" fillId="0" borderId="0" xfId="3" applyNumberFormat="1" applyAlignment="1">
      <alignment horizontal="center"/>
    </xf>
    <xf numFmtId="167" fontId="7" fillId="2" borderId="0" xfId="4" applyNumberFormat="1" applyFont="1" applyFill="1"/>
    <xf numFmtId="9" fontId="0" fillId="0" borderId="0" xfId="4" applyFont="1"/>
    <xf numFmtId="167" fontId="5" fillId="0" borderId="0" xfId="4" applyNumberFormat="1" applyFont="1"/>
    <xf numFmtId="167" fontId="7" fillId="3" borderId="0" xfId="4" applyNumberFormat="1" applyFont="1" applyFill="1"/>
    <xf numFmtId="167" fontId="0" fillId="0" borderId="0" xfId="4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7" fillId="3" borderId="0" xfId="3" applyNumberFormat="1" applyFont="1" applyFill="1" applyBorder="1" applyAlignment="1">
      <alignment horizontal="center"/>
    </xf>
    <xf numFmtId="164" fontId="5" fillId="3" borderId="0" xfId="3" applyNumberFormat="1" applyFont="1" applyFill="1" applyBorder="1" applyAlignment="1">
      <alignment horizontal="center"/>
    </xf>
    <xf numFmtId="167" fontId="7" fillId="3" borderId="0" xfId="4" applyNumberFormat="1" applyFont="1" applyFill="1" applyBorder="1" applyAlignment="1">
      <alignment horizontal="center"/>
    </xf>
    <xf numFmtId="9" fontId="0" fillId="0" borderId="0" xfId="4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5" xfId="4" applyFont="1" applyBorder="1" applyAlignment="1">
      <alignment horizontal="center" wrapText="1"/>
    </xf>
    <xf numFmtId="0" fontId="7" fillId="0" borderId="4" xfId="3" quotePrefix="1" applyFont="1" applyBorder="1" applyAlignment="1">
      <alignment horizontal="center"/>
    </xf>
    <xf numFmtId="9" fontId="7" fillId="0" borderId="5" xfId="4" applyFont="1" applyBorder="1" applyAlignment="1">
      <alignment horizontal="center" wrapText="1"/>
    </xf>
    <xf numFmtId="164" fontId="7" fillId="0" borderId="4" xfId="3" quotePrefix="1" applyNumberFormat="1" applyFont="1" applyBorder="1" applyAlignment="1">
      <alignment horizontal="center"/>
    </xf>
    <xf numFmtId="164" fontId="7" fillId="0" borderId="6" xfId="3" quotePrefix="1" applyNumberFormat="1" applyFont="1" applyBorder="1" applyAlignment="1">
      <alignment horizontal="center"/>
    </xf>
    <xf numFmtId="164" fontId="10" fillId="3" borderId="8" xfId="3" applyNumberFormat="1" applyFont="1" applyFill="1" applyBorder="1" applyAlignment="1">
      <alignment horizontal="center"/>
    </xf>
    <xf numFmtId="167" fontId="7" fillId="3" borderId="8" xfId="4" applyNumberFormat="1" applyFont="1" applyFill="1" applyBorder="1" applyAlignment="1">
      <alignment horizontal="center"/>
    </xf>
    <xf numFmtId="9" fontId="5" fillId="0" borderId="7" xfId="4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165" fontId="13" fillId="0" borderId="5" xfId="1" applyNumberFormat="1" applyFont="1" applyBorder="1" applyAlignment="1">
      <alignment horizontal="right" vertical="center"/>
    </xf>
    <xf numFmtId="165" fontId="13" fillId="0" borderId="5" xfId="1" applyNumberFormat="1" applyFont="1" applyBorder="1" applyAlignment="1">
      <alignment vertical="center"/>
    </xf>
    <xf numFmtId="0" fontId="0" fillId="0" borderId="9" xfId="0" applyBorder="1"/>
    <xf numFmtId="165" fontId="4" fillId="0" borderId="9" xfId="1" applyNumberFormat="1" applyFont="1" applyBorder="1" applyAlignment="1">
      <alignment horizontal="right" vertical="center"/>
    </xf>
    <xf numFmtId="0" fontId="14" fillId="3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4" fillId="3" borderId="19" xfId="0" applyFont="1" applyFill="1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165" fontId="11" fillId="0" borderId="0" xfId="1" applyNumberFormat="1" applyFont="1" applyAlignment="1">
      <alignment horizontal="right" vertical="center"/>
    </xf>
    <xf numFmtId="165" fontId="0" fillId="0" borderId="0" xfId="0" applyNumberFormat="1"/>
    <xf numFmtId="3" fontId="11" fillId="0" borderId="0" xfId="1" applyNumberFormat="1" applyFont="1" applyAlignment="1">
      <alignment horizontal="right" vertical="center"/>
    </xf>
    <xf numFmtId="37" fontId="11" fillId="0" borderId="0" xfId="5" applyFont="1" applyAlignment="1">
      <alignment horizontal="left" wrapText="1"/>
    </xf>
    <xf numFmtId="3" fontId="0" fillId="0" borderId="0" xfId="0" applyNumberFormat="1"/>
    <xf numFmtId="0" fontId="16" fillId="0" borderId="0" xfId="0" applyFont="1"/>
    <xf numFmtId="165" fontId="11" fillId="0" borderId="0" xfId="1" applyNumberFormat="1" applyFont="1" applyAlignment="1">
      <alignment vertical="center"/>
    </xf>
    <xf numFmtId="0" fontId="0" fillId="0" borderId="0" xfId="0" applyAlignment="1">
      <alignment horizontal="right"/>
    </xf>
    <xf numFmtId="0" fontId="12" fillId="0" borderId="4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13" fillId="0" borderId="5" xfId="1" applyNumberFormat="1" applyFont="1" applyBorder="1" applyAlignment="1">
      <alignment vertical="center"/>
    </xf>
    <xf numFmtId="0" fontId="0" fillId="0" borderId="0" xfId="0" applyNumberFormat="1"/>
    <xf numFmtId="0" fontId="13" fillId="0" borderId="5" xfId="1" applyNumberFormat="1" applyFont="1" applyBorder="1" applyAlignment="1">
      <alignment horizontal="right" vertical="center"/>
    </xf>
    <xf numFmtId="0" fontId="12" fillId="0" borderId="6" xfId="0" applyNumberFormat="1" applyFont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0" fontId="10" fillId="3" borderId="8" xfId="3" applyNumberFormat="1" applyFont="1" applyFill="1" applyBorder="1" applyAlignment="1">
      <alignment horizontal="center"/>
    </xf>
    <xf numFmtId="0" fontId="13" fillId="0" borderId="7" xfId="1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/>
    </xf>
    <xf numFmtId="0" fontId="0" fillId="0" borderId="0" xfId="4" applyNumberFormat="1" applyFont="1" applyAlignment="1">
      <alignment horizontal="center" wrapText="1"/>
    </xf>
    <xf numFmtId="0" fontId="11" fillId="0" borderId="0" xfId="1" applyNumberFormat="1" applyFont="1" applyAlignment="1">
      <alignment horizontal="right" vertical="center"/>
    </xf>
    <xf numFmtId="165" fontId="3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4" fontId="3" fillId="0" borderId="0" xfId="1" applyNumberFormat="1" applyFont="1" applyBorder="1" applyAlignment="1">
      <alignment vertical="center"/>
    </xf>
    <xf numFmtId="4" fontId="3" fillId="0" borderId="0" xfId="1" applyNumberFormat="1" applyFont="1" applyBorder="1" applyAlignment="1">
      <alignment horizontal="right" vertical="center"/>
    </xf>
    <xf numFmtId="9" fontId="2" fillId="0" borderId="0" xfId="4" applyFont="1" applyBorder="1" applyAlignment="1">
      <alignment horizontal="center" wrapText="1"/>
    </xf>
    <xf numFmtId="9" fontId="7" fillId="0" borderId="0" xfId="4" applyFont="1" applyBorder="1" applyAlignment="1">
      <alignment horizontal="center" wrapText="1"/>
    </xf>
    <xf numFmtId="9" fontId="5" fillId="0" borderId="0" xfId="4" applyFont="1" applyBorder="1" applyAlignment="1">
      <alignment horizontal="center" wrapText="1"/>
    </xf>
    <xf numFmtId="165" fontId="13" fillId="0" borderId="0" xfId="1" applyNumberFormat="1" applyFont="1" applyBorder="1" applyAlignment="1">
      <alignment horizontal="right" vertical="center"/>
    </xf>
    <xf numFmtId="165" fontId="13" fillId="0" borderId="0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horizontal="right" vertical="center"/>
    </xf>
    <xf numFmtId="0" fontId="19" fillId="0" borderId="5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right"/>
    </xf>
    <xf numFmtId="4" fontId="17" fillId="0" borderId="6" xfId="0" applyNumberFormat="1" applyFont="1" applyBorder="1" applyAlignment="1">
      <alignment horizontal="right"/>
    </xf>
    <xf numFmtId="9" fontId="0" fillId="0" borderId="2" xfId="4" applyFont="1" applyBorder="1" applyAlignment="1">
      <alignment horizontal="center" wrapText="1"/>
    </xf>
    <xf numFmtId="0" fontId="19" fillId="0" borderId="0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0" fontId="18" fillId="0" borderId="6" xfId="0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right" vertical="center"/>
    </xf>
    <xf numFmtId="0" fontId="3" fillId="0" borderId="1" xfId="5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19" fillId="0" borderId="26" xfId="0" applyNumberFormat="1" applyFont="1" applyBorder="1" applyAlignment="1">
      <alignment horizontal="center"/>
    </xf>
    <xf numFmtId="9" fontId="3" fillId="0" borderId="28" xfId="4" applyFont="1" applyBorder="1" applyAlignment="1">
      <alignment horizontal="right" vertical="center"/>
    </xf>
    <xf numFmtId="9" fontId="3" fillId="0" borderId="29" xfId="4" applyFont="1" applyBorder="1" applyAlignment="1">
      <alignment horizontal="right" vertical="center"/>
    </xf>
    <xf numFmtId="0" fontId="3" fillId="0" borderId="30" xfId="1" applyNumberFormat="1" applyFont="1" applyBorder="1" applyAlignment="1">
      <alignment vertical="center"/>
    </xf>
    <xf numFmtId="4" fontId="3" fillId="0" borderId="30" xfId="1" applyNumberFormat="1" applyFont="1" applyBorder="1" applyAlignment="1">
      <alignment horizontal="right" vertical="center"/>
    </xf>
    <xf numFmtId="2" fontId="0" fillId="0" borderId="0" xfId="0" applyNumberFormat="1" applyAlignment="1">
      <alignment horizontal="center"/>
    </xf>
    <xf numFmtId="2" fontId="0" fillId="0" borderId="0" xfId="4" applyNumberFormat="1" applyFont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10" fillId="0" borderId="25" xfId="1" applyNumberFormat="1" applyFont="1" applyBorder="1" applyAlignment="1">
      <alignment horizontal="center" vertical="center"/>
    </xf>
    <xf numFmtId="2" fontId="10" fillId="0" borderId="27" xfId="1" applyNumberFormat="1" applyFont="1" applyBorder="1" applyAlignment="1">
      <alignment horizontal="center" vertical="center"/>
    </xf>
    <xf numFmtId="2" fontId="10" fillId="0" borderId="26" xfId="1" applyNumberFormat="1" applyFont="1" applyBorder="1" applyAlignment="1">
      <alignment horizontal="center" vertical="center"/>
    </xf>
    <xf numFmtId="3" fontId="20" fillId="0" borderId="0" xfId="6" applyNumberFormat="1"/>
    <xf numFmtId="0" fontId="9" fillId="0" borderId="0" xfId="14" applyFont="1" applyAlignment="1">
      <alignment horizontal="centerContinuous"/>
    </xf>
    <xf numFmtId="0" fontId="5" fillId="0" borderId="0" xfId="14" applyFont="1" applyAlignment="1">
      <alignment horizontal="centerContinuous"/>
    </xf>
    <xf numFmtId="0" fontId="5" fillId="0" borderId="8" xfId="14" applyFont="1" applyBorder="1"/>
    <xf numFmtId="0" fontId="5" fillId="0" borderId="8" xfId="14" applyFont="1" applyBorder="1" applyAlignment="1">
      <alignment horizontal="right"/>
    </xf>
    <xf numFmtId="1" fontId="5" fillId="0" borderId="32" xfId="14" quotePrefix="1" applyNumberFormat="1" applyFont="1" applyBorder="1" applyAlignment="1">
      <alignment horizontal="center"/>
    </xf>
    <xf numFmtId="169" fontId="3" fillId="0" borderId="0" xfId="6" applyNumberFormat="1" applyFont="1" applyBorder="1" applyAlignment="1">
      <alignment horizontal="right"/>
    </xf>
    <xf numFmtId="0" fontId="5" fillId="0" borderId="15" xfId="14" applyFont="1" applyBorder="1"/>
    <xf numFmtId="1" fontId="5" fillId="0" borderId="35" xfId="14" quotePrefix="1" applyNumberFormat="1" applyFont="1" applyBorder="1" applyAlignment="1">
      <alignment horizontal="center"/>
    </xf>
    <xf numFmtId="3" fontId="20" fillId="0" borderId="4" xfId="6" applyNumberFormat="1" applyBorder="1"/>
    <xf numFmtId="0" fontId="5" fillId="0" borderId="0" xfId="14" applyFont="1" applyBorder="1" applyAlignment="1">
      <alignment horizontal="right"/>
    </xf>
    <xf numFmtId="3" fontId="20" fillId="0" borderId="0" xfId="6" applyNumberFormat="1" applyBorder="1"/>
    <xf numFmtId="0" fontId="5" fillId="0" borderId="0" xfId="14" applyFont="1" applyBorder="1"/>
    <xf numFmtId="0" fontId="5" fillId="0" borderId="5" xfId="14" applyFont="1" applyBorder="1"/>
    <xf numFmtId="0" fontId="5" fillId="0" borderId="4" xfId="14" applyFont="1" applyBorder="1"/>
    <xf numFmtId="3" fontId="3" fillId="0" borderId="0" xfId="13" applyNumberFormat="1" applyFont="1" applyFill="1" applyBorder="1" applyAlignment="1" applyProtection="1">
      <protection locked="0"/>
    </xf>
    <xf numFmtId="3" fontId="3" fillId="0" borderId="0" xfId="13" applyNumberFormat="1" applyFont="1" applyBorder="1" applyProtection="1">
      <protection locked="0"/>
    </xf>
    <xf numFmtId="3" fontId="3" fillId="0" borderId="5" xfId="13" applyNumberFormat="1" applyFont="1" applyBorder="1" applyProtection="1">
      <protection locked="0"/>
    </xf>
    <xf numFmtId="0" fontId="3" fillId="0" borderId="4" xfId="13" applyFont="1" applyFill="1" applyBorder="1"/>
    <xf numFmtId="0" fontId="7" fillId="0" borderId="4" xfId="14" applyFont="1" applyBorder="1"/>
    <xf numFmtId="3" fontId="10" fillId="0" borderId="0" xfId="13" applyNumberFormat="1" applyFont="1" applyFill="1" applyBorder="1" applyAlignment="1"/>
    <xf numFmtId="3" fontId="10" fillId="0" borderId="0" xfId="13" applyNumberFormat="1" applyFont="1" applyFill="1" applyBorder="1" applyAlignment="1" applyProtection="1">
      <protection locked="0"/>
    </xf>
    <xf numFmtId="3" fontId="10" fillId="0" borderId="0" xfId="13" applyNumberFormat="1" applyFont="1" applyBorder="1"/>
    <xf numFmtId="3" fontId="10" fillId="0" borderId="5" xfId="13" applyNumberFormat="1" applyFont="1" applyBorder="1"/>
    <xf numFmtId="169" fontId="3" fillId="0" borderId="0" xfId="0" applyNumberFormat="1" applyFont="1" applyBorder="1" applyAlignment="1">
      <alignment horizontal="right"/>
    </xf>
    <xf numFmtId="169" fontId="5" fillId="0" borderId="0" xfId="0" applyNumberFormat="1" applyFont="1" applyBorder="1" applyAlignment="1">
      <alignment horizontal="right"/>
    </xf>
    <xf numFmtId="169" fontId="5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4" fontId="3" fillId="0" borderId="0" xfId="7" applyNumberFormat="1" applyFont="1" applyFill="1" applyBorder="1" applyAlignment="1">
      <alignment horizontal="right"/>
    </xf>
    <xf numFmtId="3" fontId="5" fillId="0" borderId="0" xfId="14" applyNumberFormat="1" applyFont="1" applyBorder="1" applyAlignment="1" applyProtection="1">
      <alignment horizontal="right"/>
      <protection locked="0"/>
    </xf>
    <xf numFmtId="3" fontId="5" fillId="0" borderId="5" xfId="14" applyNumberFormat="1" applyFont="1" applyBorder="1" applyAlignment="1" applyProtection="1">
      <alignment horizontal="right"/>
      <protection locked="0"/>
    </xf>
    <xf numFmtId="0" fontId="5" fillId="0" borderId="6" xfId="14" applyFont="1" applyBorder="1"/>
    <xf numFmtId="3" fontId="3" fillId="0" borderId="8" xfId="13" applyNumberFormat="1" applyFont="1" applyFill="1" applyBorder="1" applyAlignment="1" applyProtection="1">
      <protection locked="0"/>
    </xf>
    <xf numFmtId="0" fontId="5" fillId="0" borderId="7" xfId="14" applyFont="1" applyBorder="1"/>
    <xf numFmtId="0" fontId="7" fillId="2" borderId="21" xfId="14" applyFont="1" applyFill="1" applyBorder="1"/>
    <xf numFmtId="3" fontId="10" fillId="2" borderId="33" xfId="13" applyNumberFormat="1" applyFont="1" applyFill="1" applyBorder="1" applyAlignment="1"/>
    <xf numFmtId="3" fontId="10" fillId="2" borderId="33" xfId="13" applyNumberFormat="1" applyFont="1" applyFill="1" applyBorder="1" applyAlignment="1" applyProtection="1">
      <protection locked="0"/>
    </xf>
    <xf numFmtId="3" fontId="10" fillId="2" borderId="33" xfId="13" applyNumberFormat="1" applyFont="1" applyFill="1" applyBorder="1"/>
    <xf numFmtId="3" fontId="10" fillId="2" borderId="36" xfId="13" applyNumberFormat="1" applyFont="1" applyFill="1" applyBorder="1"/>
    <xf numFmtId="9" fontId="0" fillId="0" borderId="0" xfId="4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1" fillId="0" borderId="0" xfId="4" applyNumberFormat="1" applyFont="1" applyBorder="1" applyAlignment="1">
      <alignment horizontal="center" wrapText="1"/>
    </xf>
    <xf numFmtId="3" fontId="11" fillId="0" borderId="2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vertical="center"/>
    </xf>
    <xf numFmtId="3" fontId="11" fillId="0" borderId="3" xfId="1" applyNumberFormat="1" applyFont="1" applyBorder="1" applyAlignment="1">
      <alignment horizontal="right" vertical="center"/>
    </xf>
    <xf numFmtId="2" fontId="1" fillId="0" borderId="5" xfId="4" applyNumberFormat="1" applyFont="1" applyBorder="1" applyAlignment="1">
      <alignment horizontal="center" wrapText="1"/>
    </xf>
    <xf numFmtId="0" fontId="0" fillId="0" borderId="8" xfId="0" applyBorder="1" applyAlignment="1">
      <alignment horizontal="right"/>
    </xf>
    <xf numFmtId="9" fontId="0" fillId="0" borderId="8" xfId="4" applyFont="1" applyBorder="1" applyAlignment="1">
      <alignment horizontal="center" wrapText="1"/>
    </xf>
    <xf numFmtId="9" fontId="0" fillId="0" borderId="7" xfId="4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9" fontId="0" fillId="0" borderId="0" xfId="4" applyFont="1" applyAlignment="1">
      <alignment horizontal="center"/>
    </xf>
    <xf numFmtId="4" fontId="0" fillId="0" borderId="0" xfId="4" applyNumberFormat="1" applyFont="1" applyBorder="1" applyAlignment="1">
      <alignment horizontal="center" wrapText="1"/>
    </xf>
    <xf numFmtId="4" fontId="0" fillId="0" borderId="0" xfId="0" applyNumberForma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0" fillId="0" borderId="1" xfId="0" applyBorder="1"/>
    <xf numFmtId="0" fontId="1" fillId="0" borderId="37" xfId="0" applyFont="1" applyBorder="1" applyAlignment="1">
      <alignment horizontal="center" wrapText="1"/>
    </xf>
    <xf numFmtId="0" fontId="1" fillId="0" borderId="34" xfId="0" applyFont="1" applyBorder="1" applyAlignment="1">
      <alignment horizontal="center"/>
    </xf>
    <xf numFmtId="1" fontId="5" fillId="0" borderId="27" xfId="14" quotePrefix="1" applyNumberFormat="1" applyFont="1" applyBorder="1" applyAlignment="1">
      <alignment horizontal="center"/>
    </xf>
    <xf numFmtId="1" fontId="5" fillId="0" borderId="26" xfId="14" quotePrefix="1" applyNumberFormat="1" applyFont="1" applyBorder="1" applyAlignment="1">
      <alignment horizontal="center"/>
    </xf>
    <xf numFmtId="4" fontId="0" fillId="0" borderId="27" xfId="4" applyNumberFormat="1" applyFont="1" applyBorder="1" applyAlignment="1">
      <alignment horizontal="center" wrapText="1"/>
    </xf>
    <xf numFmtId="4" fontId="0" fillId="0" borderId="27" xfId="0" applyNumberForma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5" fillId="0" borderId="2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/>
    </xf>
    <xf numFmtId="9" fontId="0" fillId="0" borderId="27" xfId="4" applyFont="1" applyBorder="1" applyAlignment="1">
      <alignment horizontal="center" wrapText="1"/>
    </xf>
    <xf numFmtId="9" fontId="0" fillId="0" borderId="0" xfId="4" applyFont="1" applyBorder="1"/>
    <xf numFmtId="4" fontId="0" fillId="0" borderId="5" xfId="4" applyNumberFormat="1" applyFont="1" applyBorder="1" applyAlignment="1">
      <alignment horizontal="center"/>
    </xf>
    <xf numFmtId="4" fontId="0" fillId="0" borderId="7" xfId="0" applyNumberFormat="1" applyBorder="1"/>
    <xf numFmtId="43" fontId="0" fillId="0" borderId="5" xfId="2" applyFont="1" applyBorder="1" applyAlignment="1">
      <alignment horizontal="center"/>
    </xf>
    <xf numFmtId="10" fontId="0" fillId="0" borderId="27" xfId="4" applyNumberFormat="1" applyFont="1" applyBorder="1" applyAlignment="1">
      <alignment horizontal="center" wrapText="1"/>
    </xf>
    <xf numFmtId="10" fontId="0" fillId="0" borderId="26" xfId="4" applyNumberFormat="1" applyFont="1" applyBorder="1" applyAlignment="1">
      <alignment horizontal="center" wrapText="1"/>
    </xf>
    <xf numFmtId="0" fontId="9" fillId="0" borderId="0" xfId="14" applyFont="1" applyAlignment="1">
      <alignment horizontal="center"/>
    </xf>
    <xf numFmtId="0" fontId="9" fillId="0" borderId="0" xfId="14" applyFont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right"/>
    </xf>
    <xf numFmtId="3" fontId="3" fillId="0" borderId="0" xfId="13" applyNumberFormat="1" applyFont="1" applyBorder="1"/>
    <xf numFmtId="3" fontId="3" fillId="0" borderId="5" xfId="13" applyNumberFormat="1" applyFont="1" applyBorder="1"/>
    <xf numFmtId="9" fontId="3" fillId="0" borderId="0" xfId="4" applyFont="1" applyFill="1" applyBorder="1" applyAlignment="1" applyProtection="1">
      <protection locked="0"/>
    </xf>
    <xf numFmtId="17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4" xfId="0" applyBorder="1"/>
    <xf numFmtId="3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1" fontId="0" fillId="0" borderId="0" xfId="0" applyNumberFormat="1" applyBorder="1" applyAlignment="1">
      <alignment horizontal="right"/>
    </xf>
    <xf numFmtId="0" fontId="0" fillId="2" borderId="4" xfId="0" applyFill="1" applyBorder="1"/>
    <xf numFmtId="3" fontId="0" fillId="2" borderId="0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0" fontId="0" fillId="0" borderId="4" xfId="0" applyFont="1" applyBorder="1" applyAlignment="1">
      <alignment horizontal="right"/>
    </xf>
    <xf numFmtId="9" fontId="0" fillId="0" borderId="8" xfId="4" applyFont="1" applyBorder="1" applyAlignment="1">
      <alignment horizontal="center"/>
    </xf>
    <xf numFmtId="1" fontId="5" fillId="0" borderId="25" xfId="14" quotePrefix="1" applyNumberFormat="1" applyFont="1" applyBorder="1" applyAlignment="1">
      <alignment horizontal="center"/>
    </xf>
    <xf numFmtId="0" fontId="0" fillId="0" borderId="26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0" borderId="2" xfId="0" applyNumberFormat="1" applyFont="1" applyBorder="1" applyAlignment="1">
      <alignment horizontal="center" wrapText="1"/>
    </xf>
    <xf numFmtId="0" fontId="19" fillId="0" borderId="3" xfId="0" applyNumberFormat="1" applyFont="1" applyBorder="1" applyAlignment="1">
      <alignment horizontal="center" wrapText="1"/>
    </xf>
    <xf numFmtId="2" fontId="26" fillId="0" borderId="8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</cellXfs>
  <cellStyles count="17">
    <cellStyle name="=C:\WINNT\SYSTEM32\COMMAND.COM" xfId="7" xr:uid="{1211F9AB-259F-4AE0-A1B2-163E85CA9B04}"/>
    <cellStyle name="Cabecera 1" xfId="8" xr:uid="{00A67F64-D791-4F1E-9FC0-C2D733AEB762}"/>
    <cellStyle name="Cabecera 2" xfId="9" xr:uid="{20D4C7BC-1EEC-4CCE-9214-6C52927935DE}"/>
    <cellStyle name="Fecha" xfId="10" xr:uid="{13B4D144-E750-415D-B3AB-6D5810360712}"/>
    <cellStyle name="Fijo" xfId="11" xr:uid="{4CB57D73-4143-48A3-ACC5-45973AB1AD91}"/>
    <cellStyle name="Millares" xfId="2" builtinId="3"/>
    <cellStyle name="Monetario0" xfId="12" xr:uid="{E9675C30-0B06-4A05-B5BD-708F848A6DE4}"/>
    <cellStyle name="NivelFila_3" xfId="1" builtinId="1" iLevel="2"/>
    <cellStyle name="Normal" xfId="0" builtinId="0"/>
    <cellStyle name="Normal 2" xfId="6" xr:uid="{7A3EBDC2-0968-4F97-BE56-35B7BB8A9B6B}"/>
    <cellStyle name="Normal_1_3_1" xfId="13" xr:uid="{4DDC8B97-E443-46FB-ABE1-C8EF8E214FD9}"/>
    <cellStyle name="Normal_1_6_1" xfId="14" xr:uid="{CF8CE7D6-BFD7-4CAA-8404-5E28EA206719}"/>
    <cellStyle name="Normal_BMMensual" xfId="5" xr:uid="{1C4D8937-534A-4ED2-A90B-2E0AB61A1894}"/>
    <cellStyle name="Normal_serie1950conbasedic2007100" xfId="3" xr:uid="{1754BE99-850A-4139-868E-1589C87B8AA3}"/>
    <cellStyle name="Porcentaje" xfId="4" builtinId="5"/>
    <cellStyle name="Punto0" xfId="15" xr:uid="{CBAAAE92-EF63-404A-8815-26D021896B20}"/>
    <cellStyle name="Total 2" xfId="16" xr:uid="{ED0471A0-06FF-4562-BC56-8FCFCC20C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771525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F1709-25F1-422F-8E9D-C04F88E04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4" name="Imagen 3">
          <a:extLst>
            <a:ext uri="{FF2B5EF4-FFF2-40B4-BE49-F238E27FC236}">
              <a16:creationId xmlns:a16="http://schemas.microsoft.com/office/drawing/2014/main" id="{768F93FB-F8DF-4C21-96D3-100F917DE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5" name="Imagen 4">
          <a:extLst>
            <a:ext uri="{FF2B5EF4-FFF2-40B4-BE49-F238E27FC236}">
              <a16:creationId xmlns:a16="http://schemas.microsoft.com/office/drawing/2014/main" id="{D0C26AC8-E73D-4747-98CE-AC683312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6" name="Imagen 5">
          <a:extLst>
            <a:ext uri="{FF2B5EF4-FFF2-40B4-BE49-F238E27FC236}">
              <a16:creationId xmlns:a16="http://schemas.microsoft.com/office/drawing/2014/main" id="{340236E1-BF17-45DA-9B28-B3BC83B0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27" name="Imagen 26">
          <a:extLst>
            <a:ext uri="{FF2B5EF4-FFF2-40B4-BE49-F238E27FC236}">
              <a16:creationId xmlns:a16="http://schemas.microsoft.com/office/drawing/2014/main" id="{A510E750-F43E-4E05-8DDD-1851C285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28" name="Imagen 27">
          <a:extLst>
            <a:ext uri="{FF2B5EF4-FFF2-40B4-BE49-F238E27FC236}">
              <a16:creationId xmlns:a16="http://schemas.microsoft.com/office/drawing/2014/main" id="{B83687CC-E69D-4C66-B377-BD6F260E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29" name="Imagen 28">
          <a:extLst>
            <a:ext uri="{FF2B5EF4-FFF2-40B4-BE49-F238E27FC236}">
              <a16:creationId xmlns:a16="http://schemas.microsoft.com/office/drawing/2014/main" id="{2F7594CD-5F56-447B-A779-A4811C97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2</xdr:row>
      <xdr:rowOff>0</xdr:rowOff>
    </xdr:from>
    <xdr:ext cx="771525" cy="200025"/>
    <xdr:pic>
      <xdr:nvPicPr>
        <xdr:cNvPr id="30" name="Imagen 29">
          <a:extLst>
            <a:ext uri="{FF2B5EF4-FFF2-40B4-BE49-F238E27FC236}">
              <a16:creationId xmlns:a16="http://schemas.microsoft.com/office/drawing/2014/main" id="{B58B3F5D-6E1A-46A3-BE8B-0766AAF3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0"/>
          <a:ext cx="7715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997D-D71D-426F-AE63-C45B4A172096}">
  <dimension ref="A1:O35"/>
  <sheetViews>
    <sheetView workbookViewId="0">
      <selection activeCell="C67" sqref="C67"/>
    </sheetView>
  </sheetViews>
  <sheetFormatPr baseColWidth="10" defaultRowHeight="15" x14ac:dyDescent="0.25"/>
  <cols>
    <col min="1" max="1" width="8" customWidth="1"/>
    <col min="2" max="2" width="6.28515625" customWidth="1"/>
    <col min="3" max="3" width="20" bestFit="1" customWidth="1"/>
    <col min="4" max="4" width="20.42578125" bestFit="1" customWidth="1"/>
  </cols>
  <sheetData>
    <row r="1" spans="1:15" x14ac:dyDescent="0.25">
      <c r="C1" s="5" t="s">
        <v>0</v>
      </c>
      <c r="I1" s="4" t="s">
        <v>1</v>
      </c>
      <c r="J1">
        <f>B12</f>
        <v>8</v>
      </c>
    </row>
    <row r="2" spans="1:15" ht="15.75" thickBot="1" x14ac:dyDescent="0.3">
      <c r="I2" t="s">
        <v>2</v>
      </c>
      <c r="J2">
        <f>J1-2</f>
        <v>6</v>
      </c>
    </row>
    <row r="3" spans="1:15" x14ac:dyDescent="0.25">
      <c r="A3" s="6"/>
      <c r="B3" s="7"/>
      <c r="C3" s="8" t="s">
        <v>3</v>
      </c>
      <c r="D3" s="8" t="s">
        <v>4</v>
      </c>
      <c r="E3" s="8"/>
      <c r="F3" s="8"/>
      <c r="G3" s="8" t="s">
        <v>28</v>
      </c>
      <c r="H3" s="8" t="s">
        <v>29</v>
      </c>
      <c r="I3" s="8"/>
      <c r="J3" s="8"/>
      <c r="K3" s="8"/>
      <c r="L3" s="8" t="s">
        <v>5</v>
      </c>
      <c r="M3" s="8"/>
      <c r="N3" s="8"/>
      <c r="O3" s="9"/>
    </row>
    <row r="4" spans="1:15" ht="15.75" thickBot="1" x14ac:dyDescent="0.3">
      <c r="A4" s="10" t="s">
        <v>48</v>
      </c>
      <c r="B4" s="11" t="s">
        <v>6</v>
      </c>
      <c r="C4" s="11" t="s">
        <v>7</v>
      </c>
      <c r="D4" s="11" t="s">
        <v>8</v>
      </c>
      <c r="E4" s="11" t="s">
        <v>30</v>
      </c>
      <c r="F4" s="11" t="s">
        <v>31</v>
      </c>
      <c r="G4" s="11" t="s">
        <v>9</v>
      </c>
      <c r="H4" s="11" t="s">
        <v>10</v>
      </c>
      <c r="I4" s="11" t="s">
        <v>32</v>
      </c>
      <c r="J4" s="11" t="s">
        <v>33</v>
      </c>
      <c r="K4" s="11" t="s">
        <v>34</v>
      </c>
      <c r="L4" s="11" t="s">
        <v>11</v>
      </c>
      <c r="M4" s="11" t="s">
        <v>35</v>
      </c>
      <c r="N4" s="11" t="s">
        <v>36</v>
      </c>
      <c r="O4" s="12" t="s">
        <v>37</v>
      </c>
    </row>
    <row r="5" spans="1:15" x14ac:dyDescent="0.25">
      <c r="A5" s="13">
        <v>2020</v>
      </c>
      <c r="B5" s="3">
        <v>1</v>
      </c>
      <c r="C5" s="22">
        <v>327767509170</v>
      </c>
      <c r="D5" s="20">
        <f>421704062.527016*1000000</f>
        <v>421704062527016</v>
      </c>
      <c r="E5" s="3">
        <f>(C5*D5)</f>
        <v>1.3822089018134998E+26</v>
      </c>
      <c r="F5" s="3">
        <f>POWER(D5,2)</f>
        <v>1.7783431635178942E+29</v>
      </c>
      <c r="G5" s="3">
        <f>D5-$D$14</f>
        <v>364979204445646.44</v>
      </c>
      <c r="H5" s="3">
        <f>(C5-$C$14)</f>
        <v>285443743734.08752</v>
      </c>
      <c r="I5" s="3">
        <f>POWER(G5,2)</f>
        <v>1.3320981967777699E+29</v>
      </c>
      <c r="J5" s="3">
        <f>POWER(H5,2)</f>
        <v>8.1478130836931435E+22</v>
      </c>
      <c r="K5" s="3">
        <f>G5*H5</f>
        <v>1.0418103050205423E+26</v>
      </c>
      <c r="L5" s="3">
        <f t="shared" ref="L5:L12" si="0">$E$24+($E$25*D5)</f>
        <v>326863117322.35052</v>
      </c>
      <c r="M5" s="3">
        <f>(C5-L5)</f>
        <v>904391847.6494751</v>
      </c>
      <c r="N5" s="3">
        <f>POWER(M5,2)</f>
        <v>8.1792461409483136E+17</v>
      </c>
      <c r="O5" s="14">
        <f>(L5*M5)</f>
        <v>2.9561233860362771E+20</v>
      </c>
    </row>
    <row r="6" spans="1:15" x14ac:dyDescent="0.25">
      <c r="A6" s="13">
        <f>A5-1</f>
        <v>2019</v>
      </c>
      <c r="B6" s="3">
        <v>2</v>
      </c>
      <c r="C6" s="22">
        <v>10711919274.4</v>
      </c>
      <c r="D6" s="21">
        <f>31658408.1923823*1000000</f>
        <v>31658408192382.297</v>
      </c>
      <c r="E6" s="3">
        <f t="shared" ref="E6:E12" si="1">(C6*D6)</f>
        <v>3.391223129128028E+23</v>
      </c>
      <c r="F6" s="3">
        <f t="shared" ref="F6:F12" si="2">POWER(D6,2)</f>
        <v>1.0022548092754986E+27</v>
      </c>
      <c r="G6" s="3">
        <f t="shared" ref="G6:G12" si="3">D6-$D$14</f>
        <v>-25066449888987.281</v>
      </c>
      <c r="H6" s="3">
        <f t="shared" ref="H6:H12" si="4">(C6-$C$14)</f>
        <v>-31611846161.512505</v>
      </c>
      <c r="I6" s="3">
        <f t="shared" ref="I6:J12" si="5">POWER(G6,2)</f>
        <v>6.2832691003711042E+26</v>
      </c>
      <c r="J6" s="3">
        <f t="shared" si="5"/>
        <v>9.9930881773913283E+20</v>
      </c>
      <c r="K6" s="3">
        <f t="shared" ref="K6:K12" si="6">G6*H6</f>
        <v>7.9239675770592813E+23</v>
      </c>
      <c r="L6" s="3">
        <f t="shared" si="0"/>
        <v>22781853681.407352</v>
      </c>
      <c r="M6" s="3">
        <f t="shared" ref="M6:M12" si="7">(C6-L6)</f>
        <v>-12069934407.007353</v>
      </c>
      <c r="N6" s="3">
        <f t="shared" ref="N6:N12" si="8">POWER(M6,2)</f>
        <v>1.4568331658945993E+20</v>
      </c>
      <c r="O6" s="14">
        <f t="shared" ref="O6:O12" si="9">(L6*M6)</f>
        <v>-2.7497547960462574E+20</v>
      </c>
    </row>
    <row r="7" spans="1:15" x14ac:dyDescent="0.25">
      <c r="A7" s="13">
        <f t="shared" ref="A7:A12" si="10">A6-1</f>
        <v>2018</v>
      </c>
      <c r="B7" s="3">
        <v>3</v>
      </c>
      <c r="C7" s="22">
        <v>110597550.2</v>
      </c>
      <c r="D7" s="21">
        <f>435323.847619253*1000000</f>
        <v>435323847619.25299</v>
      </c>
      <c r="E7" s="3">
        <f t="shared" si="1"/>
        <v>4.8145751090327486E+19</v>
      </c>
      <c r="F7" s="3">
        <f t="shared" si="2"/>
        <v>1.8950685230603061E+23</v>
      </c>
      <c r="G7" s="3">
        <f t="shared" si="3"/>
        <v>-56289534233750.328</v>
      </c>
      <c r="H7" s="3">
        <f t="shared" si="4"/>
        <v>-42213167885.712509</v>
      </c>
      <c r="I7" s="3">
        <f t="shared" si="5"/>
        <v>3.16851166425255E+27</v>
      </c>
      <c r="J7" s="3">
        <f t="shared" si="5"/>
        <v>1.7819515429473498E+21</v>
      </c>
      <c r="K7" s="3">
        <f t="shared" si="6"/>
        <v>2.3761595588178644E+24</v>
      </c>
      <c r="L7" s="3">
        <f t="shared" si="0"/>
        <v>-1559796678.7778153</v>
      </c>
      <c r="M7" s="3">
        <f t="shared" si="7"/>
        <v>1670394228.9778154</v>
      </c>
      <c r="N7" s="3">
        <f t="shared" si="8"/>
        <v>2.7902168802023905E+18</v>
      </c>
      <c r="O7" s="14">
        <f t="shared" si="9"/>
        <v>-2.6054753706092262E+18</v>
      </c>
    </row>
    <row r="8" spans="1:15" x14ac:dyDescent="0.25">
      <c r="A8" s="13">
        <f t="shared" si="10"/>
        <v>2017</v>
      </c>
      <c r="B8" s="3">
        <v>4</v>
      </c>
      <c r="C8" s="22">
        <v>84970.3</v>
      </c>
      <c r="D8" s="20">
        <f>988250978.921632</f>
        <v>988250978.92163205</v>
      </c>
      <c r="E8" s="3">
        <f t="shared" si="1"/>
        <v>83971982154264.75</v>
      </c>
      <c r="F8" s="3">
        <f t="shared" si="2"/>
        <v>9.7663999733956403E+17</v>
      </c>
      <c r="G8" s="3">
        <f t="shared" si="3"/>
        <v>-56723869830390.656</v>
      </c>
      <c r="H8" s="3">
        <f t="shared" si="4"/>
        <v>-42323680465.612503</v>
      </c>
      <c r="I8" s="3">
        <f t="shared" si="5"/>
        <v>3.2175974085351033E+27</v>
      </c>
      <c r="J8" s="3">
        <f t="shared" si="5"/>
        <v>1.7912939281552693E+21</v>
      </c>
      <c r="K8" s="3">
        <f t="shared" si="6"/>
        <v>2.4007629414744515E+24</v>
      </c>
      <c r="L8" s="3">
        <f t="shared" si="0"/>
        <v>-1898406571.2426722</v>
      </c>
      <c r="M8" s="3">
        <f t="shared" si="7"/>
        <v>1898491541.5426722</v>
      </c>
      <c r="N8" s="3">
        <f t="shared" si="8"/>
        <v>3.6042701333090719E+18</v>
      </c>
      <c r="O8" s="14">
        <f t="shared" si="9"/>
        <v>-3.6041088179132396E+18</v>
      </c>
    </row>
    <row r="9" spans="1:15" x14ac:dyDescent="0.25">
      <c r="A9" s="13">
        <f t="shared" si="10"/>
        <v>2016</v>
      </c>
      <c r="B9" s="3">
        <v>5</v>
      </c>
      <c r="C9" s="22">
        <v>8826.9</v>
      </c>
      <c r="D9" s="20">
        <f>53794621.7784148</f>
        <v>53794621.778414801</v>
      </c>
      <c r="E9" s="3">
        <f t="shared" si="1"/>
        <v>474839746975.88959</v>
      </c>
      <c r="F9" s="3">
        <f t="shared" si="2"/>
        <v>2893861332282700</v>
      </c>
      <c r="G9" s="3">
        <f t="shared" si="3"/>
        <v>-56724804286747.797</v>
      </c>
      <c r="H9" s="3">
        <f t="shared" si="4"/>
        <v>-42323756609.012505</v>
      </c>
      <c r="I9" s="3">
        <f t="shared" si="5"/>
        <v>3.2177034213698411E+27</v>
      </c>
      <c r="J9" s="3">
        <f t="shared" si="5"/>
        <v>1.7913003734989296E+21</v>
      </c>
      <c r="K9" s="3">
        <f t="shared" si="6"/>
        <v>2.400806810326183E+24</v>
      </c>
      <c r="L9" s="3">
        <f t="shared" si="0"/>
        <v>-1899135077.4232681</v>
      </c>
      <c r="M9" s="3">
        <f t="shared" si="7"/>
        <v>1899143904.3232682</v>
      </c>
      <c r="N9" s="3">
        <f t="shared" si="8"/>
        <v>3.6067475693282268E+18</v>
      </c>
      <c r="O9" s="14">
        <f t="shared" si="9"/>
        <v>-3.6067308057748977E+18</v>
      </c>
    </row>
    <row r="10" spans="1:15" x14ac:dyDescent="0.25">
      <c r="A10" s="13">
        <f t="shared" si="10"/>
        <v>2015</v>
      </c>
      <c r="B10" s="3">
        <v>6</v>
      </c>
      <c r="C10" s="22">
        <v>2357.9</v>
      </c>
      <c r="D10" s="20">
        <f>16009454.2408721</f>
        <v>16009454.2408721</v>
      </c>
      <c r="E10" s="3">
        <f t="shared" si="1"/>
        <v>37748692154.552322</v>
      </c>
      <c r="F10" s="3">
        <f t="shared" si="2"/>
        <v>256302625090577.66</v>
      </c>
      <c r="G10" s="3">
        <f t="shared" si="3"/>
        <v>-56724842071915.336</v>
      </c>
      <c r="H10" s="3">
        <f t="shared" si="4"/>
        <v>-42323763078.012505</v>
      </c>
      <c r="I10" s="3">
        <f t="shared" si="5"/>
        <v>3.2177077080837361E+27</v>
      </c>
      <c r="J10" s="3">
        <f t="shared" si="5"/>
        <v>1.7913009210837345E+21</v>
      </c>
      <c r="K10" s="3">
        <f t="shared" si="6"/>
        <v>2.4008087764894208E+24</v>
      </c>
      <c r="L10" s="3">
        <f t="shared" si="0"/>
        <v>-1899164534.9018068</v>
      </c>
      <c r="M10" s="3">
        <f t="shared" si="7"/>
        <v>1899166892.8018069</v>
      </c>
      <c r="N10" s="3">
        <f t="shared" si="8"/>
        <v>3.6068348867144699E+18</v>
      </c>
      <c r="O10" s="14">
        <f t="shared" si="9"/>
        <v>-3.6068304086688532E+18</v>
      </c>
    </row>
    <row r="11" spans="1:15" x14ac:dyDescent="0.25">
      <c r="A11" s="13">
        <f t="shared" si="10"/>
        <v>2014</v>
      </c>
      <c r="B11" s="3">
        <v>7</v>
      </c>
      <c r="C11" s="22">
        <v>839.5</v>
      </c>
      <c r="D11" s="20">
        <f>7579941.1852733</f>
        <v>7579941.1852732999</v>
      </c>
      <c r="E11" s="3">
        <f t="shared" si="1"/>
        <v>6363360625.0369349</v>
      </c>
      <c r="F11" s="3">
        <f t="shared" si="2"/>
        <v>57455508372202.398</v>
      </c>
      <c r="G11" s="3">
        <f t="shared" si="3"/>
        <v>-56724850501428.391</v>
      </c>
      <c r="H11" s="3">
        <f t="shared" si="4"/>
        <v>-42323764596.412506</v>
      </c>
      <c r="I11" s="3">
        <f t="shared" si="5"/>
        <v>3.2177086644094006E+27</v>
      </c>
      <c r="J11" s="3">
        <f t="shared" si="5"/>
        <v>1.7913010496125406E+21</v>
      </c>
      <c r="K11" s="3">
        <f t="shared" si="6"/>
        <v>2.4008092193891472E+24</v>
      </c>
      <c r="L11" s="3">
        <f t="shared" si="0"/>
        <v>-1899171106.5863094</v>
      </c>
      <c r="M11" s="3">
        <f t="shared" si="7"/>
        <v>1899171946.0863094</v>
      </c>
      <c r="N11" s="3">
        <f t="shared" si="8"/>
        <v>3.60685408080126E+18</v>
      </c>
      <c r="O11" s="14">
        <f t="shared" si="9"/>
        <v>-3.6068524864464113E+18</v>
      </c>
    </row>
    <row r="12" spans="1:15" ht="15.75" thickBot="1" x14ac:dyDescent="0.3">
      <c r="A12" s="13">
        <f t="shared" si="10"/>
        <v>2013</v>
      </c>
      <c r="B12" s="3">
        <v>8</v>
      </c>
      <c r="C12" s="22">
        <v>498.1</v>
      </c>
      <c r="D12" s="20">
        <f>4448942.9254386</f>
        <v>4448942.9254385997</v>
      </c>
      <c r="E12" s="3">
        <f t="shared" si="1"/>
        <v>2216018471.1609664</v>
      </c>
      <c r="F12" s="3">
        <f t="shared" si="2"/>
        <v>19793093153810.164</v>
      </c>
      <c r="G12" s="3">
        <f t="shared" si="3"/>
        <v>-56724853632426.656</v>
      </c>
      <c r="H12" s="3">
        <f t="shared" si="4"/>
        <v>-42323764937.812508</v>
      </c>
      <c r="I12" s="3">
        <f t="shared" si="5"/>
        <v>3.2177090196202274E+27</v>
      </c>
      <c r="J12" s="3">
        <f t="shared" si="5"/>
        <v>1.7913010785112073E+21</v>
      </c>
      <c r="K12" s="3">
        <f t="shared" si="6"/>
        <v>2.4008093712706457E+24</v>
      </c>
      <c r="L12" s="3">
        <f t="shared" si="0"/>
        <v>-1899173547.5259705</v>
      </c>
      <c r="M12" s="3">
        <f t="shared" si="7"/>
        <v>1899174045.6259704</v>
      </c>
      <c r="N12" s="3">
        <f t="shared" si="8"/>
        <v>3.6068620555793152E+18</v>
      </c>
      <c r="O12" s="14">
        <f t="shared" si="9"/>
        <v>-3.6068611096007235E+18</v>
      </c>
    </row>
    <row r="13" spans="1:15" x14ac:dyDescent="0.25">
      <c r="A13" s="2"/>
      <c r="B13" s="18" t="s">
        <v>12</v>
      </c>
      <c r="C13" s="18">
        <f t="shared" ref="C13:O13" si="11">SUM(C5:C12)</f>
        <v>338590123487.30005</v>
      </c>
      <c r="D13" s="18">
        <f t="shared" si="11"/>
        <v>453798864650956.63</v>
      </c>
      <c r="E13" s="18">
        <f t="shared" si="11"/>
        <v>1.3856006064009836E+26</v>
      </c>
      <c r="F13" s="18">
        <f t="shared" si="11"/>
        <v>1.7883676066889709E+29</v>
      </c>
      <c r="G13" s="18">
        <f t="shared" si="11"/>
        <v>0</v>
      </c>
      <c r="H13" s="18">
        <f t="shared" si="11"/>
        <v>0</v>
      </c>
      <c r="I13" s="18">
        <f t="shared" si="11"/>
        <v>1.5309508447408497E+29</v>
      </c>
      <c r="J13" s="18">
        <f t="shared" si="11"/>
        <v>9.321588854847961E+22</v>
      </c>
      <c r="K13" s="18">
        <f t="shared" si="11"/>
        <v>1.193535839375279E+26</v>
      </c>
      <c r="L13" s="18">
        <f t="shared" si="11"/>
        <v>338590123487.30005</v>
      </c>
      <c r="M13" s="18">
        <f t="shared" si="11"/>
        <v>-3.528594970703125E-5</v>
      </c>
      <c r="N13" s="18">
        <f t="shared" si="11"/>
        <v>1.6732302680948952E+20</v>
      </c>
      <c r="O13" s="19">
        <f t="shared" si="11"/>
        <v>-11377664</v>
      </c>
    </row>
    <row r="14" spans="1:15" ht="15.75" thickBot="1" x14ac:dyDescent="0.3">
      <c r="A14" s="15"/>
      <c r="B14" s="16" t="s">
        <v>13</v>
      </c>
      <c r="C14" s="16">
        <f>(C13/$J$1)</f>
        <v>42323765435.912506</v>
      </c>
      <c r="D14" s="16">
        <f t="shared" ref="D14:O14" si="12">(D13/$J$1)</f>
        <v>56724858081369.578</v>
      </c>
      <c r="E14" s="16"/>
      <c r="F14" s="16"/>
      <c r="G14" s="16">
        <f t="shared" si="12"/>
        <v>0</v>
      </c>
      <c r="H14" s="16">
        <f t="shared" si="12"/>
        <v>0</v>
      </c>
      <c r="I14" s="16"/>
      <c r="J14" s="16"/>
      <c r="K14" s="16">
        <f t="shared" si="12"/>
        <v>1.4919197992190987E+25</v>
      </c>
      <c r="L14" s="16">
        <f t="shared" si="12"/>
        <v>42323765435.912506</v>
      </c>
      <c r="M14" s="16">
        <f t="shared" si="12"/>
        <v>-4.4107437133789063E-6</v>
      </c>
      <c r="N14" s="16">
        <f t="shared" si="12"/>
        <v>2.091537835118619E+19</v>
      </c>
      <c r="O14" s="17">
        <f t="shared" si="12"/>
        <v>-1422208</v>
      </c>
    </row>
    <row r="16" spans="1:15" x14ac:dyDescent="0.25">
      <c r="B16" s="72" t="s">
        <v>38</v>
      </c>
      <c r="C16" s="68"/>
      <c r="D16" s="65"/>
      <c r="E16" s="65">
        <f>$I$13/J2</f>
        <v>2.5515847412347495E+28</v>
      </c>
      <c r="G16" t="s">
        <v>39</v>
      </c>
    </row>
    <row r="17" spans="1:9" x14ac:dyDescent="0.25">
      <c r="B17" s="70" t="s">
        <v>14</v>
      </c>
      <c r="C17" s="70"/>
      <c r="D17" s="65"/>
      <c r="E17" s="65">
        <f>(E16/I13)</f>
        <v>0.16666666666666666</v>
      </c>
      <c r="G17" t="s">
        <v>40</v>
      </c>
    </row>
    <row r="18" spans="1:9" x14ac:dyDescent="0.25">
      <c r="B18" s="65" t="s">
        <v>15</v>
      </c>
      <c r="C18" s="65"/>
      <c r="D18" s="66"/>
      <c r="E18" s="65">
        <f>SQRT(E17)</f>
        <v>0.40824829046386302</v>
      </c>
      <c r="G18" t="s">
        <v>41</v>
      </c>
    </row>
    <row r="19" spans="1:9" x14ac:dyDescent="0.25">
      <c r="B19" s="65" t="s">
        <v>16</v>
      </c>
      <c r="C19" s="65"/>
      <c r="D19" s="65"/>
      <c r="E19" s="65">
        <f>F13/(J1*I13)*E16</f>
        <v>3.7257658472686894E+27</v>
      </c>
      <c r="G19" t="s">
        <v>42</v>
      </c>
    </row>
    <row r="20" spans="1:9" x14ac:dyDescent="0.25">
      <c r="B20" s="65" t="s">
        <v>17</v>
      </c>
      <c r="C20" s="65"/>
      <c r="D20" s="65"/>
      <c r="E20" s="65">
        <f>SQRT(E19)</f>
        <v>61039051821507.594</v>
      </c>
      <c r="G20" t="s">
        <v>43</v>
      </c>
    </row>
    <row r="21" spans="1:9" x14ac:dyDescent="0.25">
      <c r="B21" s="72" t="s">
        <v>18</v>
      </c>
      <c r="C21" s="68"/>
      <c r="D21" s="68"/>
      <c r="E21" s="65">
        <f>J2</f>
        <v>6</v>
      </c>
      <c r="G21" t="s">
        <v>19</v>
      </c>
    </row>
    <row r="22" spans="1:9" x14ac:dyDescent="0.25">
      <c r="B22" s="70" t="s">
        <v>20</v>
      </c>
      <c r="C22" s="70"/>
      <c r="D22" s="65"/>
      <c r="E22" s="65">
        <f>CORREL(C5:C12,D5:D12)</f>
        <v>0.99910209416378548</v>
      </c>
      <c r="G22" t="s">
        <v>44</v>
      </c>
      <c r="I22" t="s">
        <v>21</v>
      </c>
    </row>
    <row r="23" spans="1:9" x14ac:dyDescent="0.25">
      <c r="B23" s="69" t="s">
        <v>45</v>
      </c>
      <c r="C23" s="69"/>
      <c r="D23" s="65"/>
      <c r="E23" s="67">
        <f>RSQ(C5:C12,D5:D12)</f>
        <v>0.9982049945624617</v>
      </c>
      <c r="G23" t="s">
        <v>46</v>
      </c>
    </row>
    <row r="24" spans="1:9" x14ac:dyDescent="0.25">
      <c r="B24" s="72" t="s">
        <v>22</v>
      </c>
      <c r="C24" s="68"/>
      <c r="D24" s="65"/>
      <c r="E24" s="65">
        <f>INTERCEPT(C5:C12,D5:D12)</f>
        <v>-1899177015.9409409</v>
      </c>
      <c r="G24" t="s">
        <v>23</v>
      </c>
    </row>
    <row r="25" spans="1:9" x14ac:dyDescent="0.25">
      <c r="B25" s="71" t="s">
        <v>24</v>
      </c>
      <c r="C25" s="68"/>
      <c r="D25" s="65"/>
      <c r="E25" s="65">
        <f>SLOPE(C5:C12,D5:D12)</f>
        <v>7.7960428545131616E-4</v>
      </c>
      <c r="G25" t="s">
        <v>47</v>
      </c>
    </row>
    <row r="26" spans="1:9" x14ac:dyDescent="0.25">
      <c r="C26" s="5" t="s">
        <v>25</v>
      </c>
    </row>
    <row r="28" spans="1:9" x14ac:dyDescent="0.25">
      <c r="C28" t="s">
        <v>26</v>
      </c>
      <c r="D28" t="s">
        <v>27</v>
      </c>
    </row>
    <row r="29" spans="1:9" x14ac:dyDescent="0.25">
      <c r="C29" s="20">
        <f>421704062.527016*1000000</f>
        <v>421704062527016</v>
      </c>
      <c r="D29">
        <f>$E$24+($E$25*C29)</f>
        <v>326863117322.35052</v>
      </c>
    </row>
    <row r="31" spans="1:9" x14ac:dyDescent="0.25">
      <c r="C31" s="86">
        <f>C29+D35</f>
        <v>421704062527016</v>
      </c>
      <c r="D31" s="89">
        <f>$E$24+($E$25*C31)</f>
        <v>326863117322.35052</v>
      </c>
      <c r="E31" t="s">
        <v>77</v>
      </c>
    </row>
    <row r="32" spans="1:9" x14ac:dyDescent="0.25">
      <c r="A32" s="90"/>
      <c r="D32" s="39"/>
    </row>
    <row r="35" spans="3:4" x14ac:dyDescent="0.25">
      <c r="C35" s="88"/>
      <c r="D35" s="87"/>
    </row>
  </sheetData>
  <sheetProtection algorithmName="SHA-512" hashValue="Q0bCWBmVVtDFrJToxNsG3Q9WjDn5gtbAgDDkAfBnkLDTZJ4xnDvfUMQ0uOxfK6ZZxHOXISkQ1vZfxl1oYmJBGA==" saltValue="eNhkV83uKS2XyngZJVmI+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057C-E41C-45A8-B782-B338C13034A7}">
  <dimension ref="A1:H115"/>
  <sheetViews>
    <sheetView topLeftCell="A11" workbookViewId="0">
      <selection activeCell="E24" sqref="E24:E25"/>
    </sheetView>
  </sheetViews>
  <sheetFormatPr baseColWidth="10" defaultRowHeight="15" x14ac:dyDescent="0.25"/>
  <cols>
    <col min="2" max="2" width="16.42578125" bestFit="1" customWidth="1"/>
    <col min="4" max="4" width="11.42578125" style="42"/>
    <col min="5" max="5" width="19" bestFit="1" customWidth="1"/>
    <col min="6" max="6" width="14.7109375" bestFit="1" customWidth="1"/>
  </cols>
  <sheetData>
    <row r="1" spans="1:8" x14ac:dyDescent="0.25">
      <c r="B1" s="44" t="s">
        <v>3</v>
      </c>
      <c r="C1" s="1" t="s">
        <v>69</v>
      </c>
      <c r="D1" s="1"/>
    </row>
    <row r="2" spans="1:8" x14ac:dyDescent="0.25">
      <c r="A2" s="23">
        <v>2020</v>
      </c>
      <c r="B2" s="22"/>
      <c r="C2" s="22"/>
      <c r="D2" s="40"/>
      <c r="E2" s="24"/>
      <c r="F2" s="24"/>
      <c r="G2" s="24"/>
      <c r="H2" s="24"/>
    </row>
    <row r="3" spans="1:8" x14ac:dyDescent="0.25">
      <c r="A3" s="24" t="s">
        <v>49</v>
      </c>
      <c r="B3" s="25">
        <v>327767509170</v>
      </c>
      <c r="C3" s="22">
        <v>77.5</v>
      </c>
      <c r="D3" s="38">
        <f>(B3/B17-1)</f>
        <v>29.598392386443656</v>
      </c>
      <c r="E3" s="26"/>
      <c r="F3" s="27"/>
      <c r="G3" s="28"/>
      <c r="H3" s="24"/>
    </row>
    <row r="4" spans="1:8" x14ac:dyDescent="0.25">
      <c r="A4" s="24" t="s">
        <v>50</v>
      </c>
      <c r="B4" s="22">
        <v>184682722830.10001</v>
      </c>
      <c r="C4" s="22">
        <v>40</v>
      </c>
      <c r="D4" s="40"/>
      <c r="E4" s="24"/>
      <c r="F4" s="24"/>
      <c r="G4" s="24"/>
      <c r="H4" s="24"/>
    </row>
    <row r="5" spans="1:8" x14ac:dyDescent="0.25">
      <c r="A5" s="24" t="s">
        <v>51</v>
      </c>
      <c r="B5" s="22">
        <v>131945447084.8</v>
      </c>
      <c r="C5" s="22">
        <v>30.5</v>
      </c>
      <c r="D5" s="40"/>
      <c r="E5" s="24"/>
      <c r="F5" s="24"/>
      <c r="G5" s="24"/>
      <c r="H5" s="24"/>
    </row>
    <row r="6" spans="1:8" x14ac:dyDescent="0.25">
      <c r="A6" s="24" t="s">
        <v>52</v>
      </c>
      <c r="B6" s="22">
        <v>101126220212.8</v>
      </c>
      <c r="C6" s="22">
        <v>27.9</v>
      </c>
      <c r="D6" s="40"/>
      <c r="E6" s="24"/>
      <c r="F6" s="24"/>
      <c r="G6" s="24"/>
      <c r="H6" s="24"/>
    </row>
    <row r="7" spans="1:8" x14ac:dyDescent="0.25">
      <c r="A7" s="24" t="s">
        <v>53</v>
      </c>
      <c r="B7" s="22">
        <v>79061685127.399994</v>
      </c>
      <c r="C7" s="22">
        <v>24.7</v>
      </c>
      <c r="D7" s="40"/>
      <c r="E7" s="24"/>
      <c r="F7" s="24"/>
      <c r="G7" s="24"/>
      <c r="H7" s="24"/>
    </row>
    <row r="8" spans="1:8" x14ac:dyDescent="0.25">
      <c r="A8" s="24" t="s">
        <v>54</v>
      </c>
      <c r="B8" s="22">
        <v>63408630581.900002</v>
      </c>
      <c r="C8" s="22">
        <v>19.600000000000001</v>
      </c>
      <c r="D8" s="40"/>
      <c r="E8" s="24"/>
      <c r="F8" s="24"/>
      <c r="G8" s="24"/>
      <c r="H8" s="24"/>
    </row>
    <row r="9" spans="1:8" x14ac:dyDescent="0.25">
      <c r="A9" s="24" t="s">
        <v>55</v>
      </c>
      <c r="B9" s="22">
        <v>53033212824.900002</v>
      </c>
      <c r="C9" s="22">
        <v>25.1</v>
      </c>
      <c r="D9" s="40"/>
      <c r="E9" s="24"/>
      <c r="F9" s="24"/>
      <c r="G9" s="24"/>
      <c r="H9" s="24"/>
    </row>
    <row r="10" spans="1:8" x14ac:dyDescent="0.25">
      <c r="A10" s="24" t="s">
        <v>56</v>
      </c>
      <c r="B10" s="22">
        <v>42404519909.599998</v>
      </c>
      <c r="C10" s="22">
        <v>38.6</v>
      </c>
      <c r="D10" s="40"/>
      <c r="E10" s="24"/>
      <c r="F10" s="24"/>
      <c r="G10" s="24"/>
      <c r="H10" s="24"/>
    </row>
    <row r="11" spans="1:8" x14ac:dyDescent="0.25">
      <c r="A11" s="24" t="s">
        <v>57</v>
      </c>
      <c r="B11" s="22">
        <v>30594008765.700001</v>
      </c>
      <c r="C11" s="22">
        <v>27.5</v>
      </c>
      <c r="D11" s="40"/>
      <c r="E11" s="24"/>
      <c r="F11" s="24"/>
      <c r="G11" s="24"/>
      <c r="H11" s="24" t="s">
        <v>124</v>
      </c>
    </row>
    <row r="12" spans="1:8" x14ac:dyDescent="0.25">
      <c r="A12" s="24" t="s">
        <v>58</v>
      </c>
      <c r="B12" s="22">
        <v>23995112795.700001</v>
      </c>
      <c r="C12" s="29">
        <v>13.3</v>
      </c>
      <c r="D12" s="40"/>
      <c r="E12" s="24"/>
      <c r="F12" s="24"/>
      <c r="G12" s="24"/>
      <c r="H12" s="24"/>
    </row>
    <row r="13" spans="1:8" x14ac:dyDescent="0.25">
      <c r="A13" s="24" t="s">
        <v>59</v>
      </c>
      <c r="B13" s="22">
        <v>21174462628.900002</v>
      </c>
      <c r="C13" s="29">
        <v>21.8</v>
      </c>
      <c r="D13" s="40"/>
      <c r="E13" s="24"/>
      <c r="F13" s="24"/>
      <c r="G13" s="24"/>
      <c r="H13" s="24"/>
    </row>
    <row r="14" spans="1:8" x14ac:dyDescent="0.25">
      <c r="A14" s="24" t="s">
        <v>60</v>
      </c>
      <c r="B14" s="22">
        <v>17377625281.200001</v>
      </c>
      <c r="C14" s="29">
        <v>62.2</v>
      </c>
      <c r="D14" s="40"/>
      <c r="E14" s="24"/>
      <c r="F14" s="24"/>
      <c r="G14" s="24"/>
      <c r="H14" s="24"/>
    </row>
    <row r="15" spans="1:8" ht="15.75" x14ac:dyDescent="0.25">
      <c r="A15" s="30"/>
      <c r="B15" s="22"/>
      <c r="C15" s="22"/>
      <c r="D15" s="40"/>
      <c r="E15" s="24"/>
      <c r="F15" s="24"/>
      <c r="G15" s="24"/>
      <c r="H15" s="24"/>
    </row>
    <row r="16" spans="1:8" x14ac:dyDescent="0.25">
      <c r="A16" s="31" t="s">
        <v>61</v>
      </c>
      <c r="B16" s="22"/>
      <c r="C16" s="29"/>
      <c r="D16" s="40"/>
      <c r="E16" s="24"/>
      <c r="F16" s="24"/>
      <c r="G16" s="24"/>
      <c r="H16" s="24"/>
    </row>
    <row r="17" spans="1:8" x14ac:dyDescent="0.25">
      <c r="A17" s="24" t="s">
        <v>49</v>
      </c>
      <c r="B17" s="25">
        <v>10711919274.4</v>
      </c>
      <c r="C17" s="29">
        <v>31.5</v>
      </c>
      <c r="D17" s="38">
        <f>(B17/B31-1)</f>
        <v>95.854941678445954</v>
      </c>
      <c r="E17" s="24"/>
      <c r="F17" s="24"/>
      <c r="G17" s="24"/>
      <c r="H17" s="24"/>
    </row>
    <row r="18" spans="1:8" x14ac:dyDescent="0.25">
      <c r="A18" s="24" t="s">
        <v>50</v>
      </c>
      <c r="B18" s="22">
        <v>8144026331.6999998</v>
      </c>
      <c r="C18" s="29">
        <v>25.7</v>
      </c>
      <c r="D18" s="40"/>
      <c r="E18" s="24"/>
      <c r="F18" s="24"/>
      <c r="G18" s="24"/>
      <c r="H18" s="24"/>
    </row>
    <row r="19" spans="1:8" x14ac:dyDescent="0.25">
      <c r="A19" s="24" t="s">
        <v>51</v>
      </c>
      <c r="B19" s="22">
        <v>6478423619.1999998</v>
      </c>
      <c r="C19" s="29">
        <v>22.6</v>
      </c>
      <c r="D19" s="40"/>
      <c r="E19" s="24"/>
      <c r="F19" s="24"/>
      <c r="G19" s="24"/>
      <c r="H19" s="24"/>
    </row>
    <row r="20" spans="1:8" x14ac:dyDescent="0.25">
      <c r="A20" s="24" t="s">
        <v>52</v>
      </c>
      <c r="B20" s="22">
        <v>5286006314.6999998</v>
      </c>
      <c r="C20" s="29">
        <v>52.2</v>
      </c>
      <c r="D20" s="40"/>
      <c r="E20" s="24"/>
      <c r="F20" s="24"/>
      <c r="G20" s="24"/>
      <c r="H20" s="24"/>
    </row>
    <row r="21" spans="1:8" x14ac:dyDescent="0.25">
      <c r="A21" s="24" t="s">
        <v>53</v>
      </c>
      <c r="B21" s="22">
        <v>3472176193.1999998</v>
      </c>
      <c r="C21" s="29">
        <v>34.6</v>
      </c>
      <c r="D21" s="40"/>
      <c r="E21" s="24"/>
      <c r="F21" s="24"/>
      <c r="G21" s="24"/>
      <c r="H21" s="24"/>
    </row>
    <row r="22" spans="1:8" x14ac:dyDescent="0.25">
      <c r="A22" s="24" t="s">
        <v>54</v>
      </c>
      <c r="B22" s="22">
        <v>2579165819.6999998</v>
      </c>
      <c r="C22" s="29">
        <v>19.399999999999999</v>
      </c>
      <c r="D22" s="40"/>
      <c r="E22" s="24"/>
      <c r="F22" s="24"/>
      <c r="G22" s="24"/>
      <c r="H22" s="24"/>
    </row>
    <row r="23" spans="1:8" x14ac:dyDescent="0.25">
      <c r="A23" s="24" t="s">
        <v>55</v>
      </c>
      <c r="B23" s="22">
        <v>2160431069.8000002</v>
      </c>
      <c r="C23" s="29">
        <v>22.1</v>
      </c>
      <c r="D23" s="40"/>
      <c r="E23" s="24"/>
      <c r="F23" s="24"/>
      <c r="G23" s="24"/>
      <c r="H23" s="24"/>
    </row>
    <row r="24" spans="1:8" x14ac:dyDescent="0.25">
      <c r="A24" s="24" t="s">
        <v>56</v>
      </c>
      <c r="B24" s="22">
        <v>1769365833.3</v>
      </c>
      <c r="C24" s="29">
        <v>39.5</v>
      </c>
      <c r="D24" s="40"/>
      <c r="E24" s="24"/>
      <c r="F24" s="24"/>
      <c r="G24" s="24"/>
      <c r="H24" s="24"/>
    </row>
    <row r="25" spans="1:8" x14ac:dyDescent="0.25">
      <c r="A25" s="24" t="s">
        <v>57</v>
      </c>
      <c r="B25" s="22">
        <v>1268517190.9000001</v>
      </c>
      <c r="C25" s="29">
        <v>33.799999999999997</v>
      </c>
      <c r="D25" s="40"/>
      <c r="E25" s="24"/>
      <c r="F25" s="24"/>
      <c r="G25" s="24"/>
      <c r="H25" s="24"/>
    </row>
    <row r="26" spans="1:8" x14ac:dyDescent="0.25">
      <c r="A26" s="24" t="s">
        <v>58</v>
      </c>
      <c r="B26" s="22">
        <v>948197209.5</v>
      </c>
      <c r="C26" s="29">
        <v>34.799999999999997</v>
      </c>
      <c r="D26" s="40"/>
      <c r="E26" s="24"/>
      <c r="F26" s="24"/>
      <c r="G26" s="24"/>
      <c r="H26" s="24"/>
    </row>
    <row r="27" spans="1:8" x14ac:dyDescent="0.25">
      <c r="A27" s="24" t="s">
        <v>59</v>
      </c>
      <c r="B27" s="22">
        <v>703259098.20000005</v>
      </c>
      <c r="C27" s="29">
        <v>114.4</v>
      </c>
      <c r="D27" s="40"/>
      <c r="E27" s="24"/>
      <c r="F27" s="24"/>
      <c r="G27" s="24"/>
      <c r="H27" s="24"/>
    </row>
    <row r="28" spans="1:8" x14ac:dyDescent="0.25">
      <c r="A28" s="24" t="s">
        <v>60</v>
      </c>
      <c r="B28" s="22">
        <v>328067725.10000002</v>
      </c>
      <c r="C28" s="29">
        <v>196.6</v>
      </c>
      <c r="D28" s="40"/>
      <c r="E28" s="24"/>
      <c r="F28" s="24"/>
      <c r="G28" s="24"/>
      <c r="H28" s="24"/>
    </row>
    <row r="29" spans="1:8" x14ac:dyDescent="0.25">
      <c r="A29" s="24"/>
      <c r="B29" s="22"/>
      <c r="C29" s="29"/>
      <c r="D29" s="40"/>
      <c r="E29" s="24"/>
      <c r="F29" s="24"/>
      <c r="G29" s="24"/>
      <c r="H29" s="24"/>
    </row>
    <row r="30" spans="1:8" x14ac:dyDescent="0.25">
      <c r="A30" s="31" t="s">
        <v>62</v>
      </c>
      <c r="B30" s="22"/>
      <c r="C30" s="29"/>
      <c r="D30" s="40"/>
      <c r="E30" s="24"/>
      <c r="F30" s="24"/>
      <c r="G30" s="24"/>
      <c r="H30" s="24"/>
    </row>
    <row r="31" spans="1:8" x14ac:dyDescent="0.25">
      <c r="A31" s="24" t="s">
        <v>49</v>
      </c>
      <c r="B31" s="25">
        <v>110597550.2</v>
      </c>
      <c r="C31" s="29">
        <v>95.4</v>
      </c>
      <c r="D31" s="38">
        <f>(B31/B45-1)</f>
        <v>1300.6024446188844</v>
      </c>
      <c r="E31" s="24"/>
      <c r="F31" s="24"/>
      <c r="G31" s="24"/>
      <c r="H31" s="24"/>
    </row>
    <row r="32" spans="1:8" x14ac:dyDescent="0.25">
      <c r="A32" s="24" t="s">
        <v>50</v>
      </c>
      <c r="B32" s="22">
        <v>56589583.5</v>
      </c>
      <c r="C32" s="29">
        <v>123.2</v>
      </c>
      <c r="D32" s="40"/>
      <c r="E32" s="24"/>
      <c r="F32" s="24"/>
      <c r="G32" s="24"/>
      <c r="H32" s="24"/>
    </row>
    <row r="33" spans="1:8" x14ac:dyDescent="0.25">
      <c r="A33" s="24" t="s">
        <v>51</v>
      </c>
      <c r="B33" s="22">
        <v>25355573.699999999</v>
      </c>
      <c r="C33" s="29">
        <v>88.1</v>
      </c>
      <c r="D33" s="40"/>
      <c r="E33" s="24"/>
      <c r="F33" s="24"/>
      <c r="G33" s="24"/>
      <c r="H33" s="24"/>
    </row>
    <row r="34" spans="1:8" x14ac:dyDescent="0.25">
      <c r="A34" s="24" t="s">
        <v>52</v>
      </c>
      <c r="B34" s="22">
        <v>13479980.5</v>
      </c>
      <c r="C34" s="29">
        <v>127.7</v>
      </c>
      <c r="D34" s="40"/>
      <c r="E34" s="24"/>
      <c r="F34" s="24"/>
      <c r="G34" s="24"/>
      <c r="H34" s="24"/>
    </row>
    <row r="35" spans="1:8" x14ac:dyDescent="0.25">
      <c r="A35" s="24" t="s">
        <v>53</v>
      </c>
      <c r="B35" s="22">
        <v>5919047.9000000004</v>
      </c>
      <c r="C35" s="29">
        <v>76</v>
      </c>
      <c r="D35" s="40"/>
      <c r="E35" s="24"/>
      <c r="F35" s="24"/>
      <c r="G35" s="24"/>
      <c r="H35" s="24"/>
    </row>
    <row r="36" spans="1:8" x14ac:dyDescent="0.25">
      <c r="A36" s="24" t="s">
        <v>54</v>
      </c>
      <c r="B36" s="22">
        <v>3362789.7</v>
      </c>
      <c r="C36" s="29">
        <v>81.400000000000006</v>
      </c>
      <c r="D36" s="40"/>
      <c r="E36" s="24"/>
      <c r="F36" s="24"/>
      <c r="G36" s="24"/>
      <c r="H36" s="24"/>
    </row>
    <row r="37" spans="1:8" x14ac:dyDescent="0.25">
      <c r="A37" s="24" t="s">
        <v>55</v>
      </c>
      <c r="B37" s="22">
        <v>1853869.6</v>
      </c>
      <c r="C37" s="29">
        <v>96.7</v>
      </c>
      <c r="D37" s="40"/>
      <c r="E37" s="24"/>
      <c r="F37" s="24"/>
      <c r="G37" s="24"/>
      <c r="H37" s="24"/>
    </row>
    <row r="38" spans="1:8" x14ac:dyDescent="0.25">
      <c r="A38" s="24" t="s">
        <v>56</v>
      </c>
      <c r="B38" s="22">
        <v>942481</v>
      </c>
      <c r="C38" s="29">
        <v>110.3</v>
      </c>
      <c r="D38" s="40"/>
      <c r="E38" s="24"/>
      <c r="F38" s="24"/>
      <c r="G38" s="24"/>
      <c r="H38" s="24"/>
    </row>
    <row r="39" spans="1:8" x14ac:dyDescent="0.25">
      <c r="A39" s="24" t="s">
        <v>57</v>
      </c>
      <c r="B39" s="22">
        <v>448124</v>
      </c>
      <c r="C39" s="29">
        <v>55.8</v>
      </c>
      <c r="D39" s="40"/>
      <c r="E39" s="24"/>
      <c r="F39" s="24"/>
      <c r="G39" s="24"/>
      <c r="H39" s="24"/>
    </row>
    <row r="40" spans="1:8" x14ac:dyDescent="0.25">
      <c r="A40" s="24" t="s">
        <v>58</v>
      </c>
      <c r="B40" s="22">
        <v>287622.2</v>
      </c>
      <c r="C40" s="29">
        <v>40.9</v>
      </c>
      <c r="D40" s="40"/>
      <c r="E40" s="24"/>
      <c r="F40" s="24"/>
      <c r="G40" s="24"/>
      <c r="H40" s="24"/>
    </row>
    <row r="41" spans="1:8" x14ac:dyDescent="0.25">
      <c r="A41" s="24" t="s">
        <v>59</v>
      </c>
      <c r="B41" s="22">
        <v>204074.2</v>
      </c>
      <c r="C41" s="29">
        <v>44.7</v>
      </c>
      <c r="D41" s="40"/>
      <c r="E41" s="24"/>
      <c r="F41" s="24"/>
      <c r="G41" s="24"/>
      <c r="H41" s="24"/>
    </row>
    <row r="42" spans="1:8" x14ac:dyDescent="0.25">
      <c r="A42" s="24" t="s">
        <v>60</v>
      </c>
      <c r="B42" s="22">
        <v>141060.9</v>
      </c>
      <c r="C42" s="29">
        <v>66</v>
      </c>
      <c r="D42" s="40"/>
      <c r="E42" s="24"/>
      <c r="F42" s="24"/>
      <c r="G42" s="24"/>
      <c r="H42" s="24"/>
    </row>
    <row r="43" spans="1:8" x14ac:dyDescent="0.25">
      <c r="A43" s="24"/>
      <c r="B43" s="22"/>
      <c r="C43" s="29"/>
      <c r="D43" s="40"/>
      <c r="E43" s="24"/>
      <c r="F43" s="24"/>
      <c r="G43" s="24"/>
      <c r="H43" s="24"/>
    </row>
    <row r="44" spans="1:8" x14ac:dyDescent="0.25">
      <c r="A44" s="31" t="s">
        <v>63</v>
      </c>
      <c r="B44" s="22"/>
      <c r="C44" s="29"/>
      <c r="D44" s="40"/>
      <c r="E44" s="24"/>
      <c r="F44" s="24"/>
      <c r="G44" s="24"/>
      <c r="H44" s="24"/>
    </row>
    <row r="45" spans="1:8" x14ac:dyDescent="0.25">
      <c r="A45" s="24" t="s">
        <v>49</v>
      </c>
      <c r="B45" s="25">
        <v>84970.3</v>
      </c>
      <c r="C45" s="29">
        <v>55.6</v>
      </c>
      <c r="D45" s="38">
        <f>(B45/B59-1)</f>
        <v>8.6262900905187561</v>
      </c>
      <c r="E45" s="24"/>
      <c r="F45" s="24"/>
      <c r="G45" s="24"/>
      <c r="H45" s="24"/>
    </row>
    <row r="46" spans="1:8" x14ac:dyDescent="0.25">
      <c r="A46" s="24" t="s">
        <v>50</v>
      </c>
      <c r="B46" s="22">
        <v>54611</v>
      </c>
      <c r="C46" s="29">
        <v>38.299999999999997</v>
      </c>
      <c r="D46" s="40"/>
      <c r="E46" s="24"/>
      <c r="F46" s="24"/>
      <c r="G46" s="24"/>
      <c r="H46" s="24"/>
    </row>
    <row r="47" spans="1:8" x14ac:dyDescent="0.25">
      <c r="A47" s="24" t="s">
        <v>51</v>
      </c>
      <c r="B47" s="22">
        <v>39473.9</v>
      </c>
      <c r="C47" s="29">
        <v>31.9</v>
      </c>
      <c r="D47" s="40"/>
      <c r="E47" s="24"/>
      <c r="F47" s="24"/>
      <c r="G47" s="24"/>
      <c r="H47" s="24"/>
    </row>
    <row r="48" spans="1:8" x14ac:dyDescent="0.25">
      <c r="A48" s="24" t="s">
        <v>52</v>
      </c>
      <c r="B48" s="22">
        <v>29921.9</v>
      </c>
      <c r="C48" s="29">
        <v>26.1</v>
      </c>
      <c r="D48" s="40"/>
      <c r="E48" s="24"/>
      <c r="F48" s="24"/>
      <c r="G48" s="24"/>
      <c r="H48" s="24"/>
    </row>
    <row r="49" spans="1:8" x14ac:dyDescent="0.25">
      <c r="A49" s="24" t="s">
        <v>53</v>
      </c>
      <c r="B49" s="22">
        <v>23736.3</v>
      </c>
      <c r="C49" s="29">
        <v>19</v>
      </c>
      <c r="D49" s="40"/>
      <c r="E49" s="24"/>
      <c r="F49" s="24"/>
      <c r="G49" s="24"/>
      <c r="H49" s="24"/>
    </row>
    <row r="50" spans="1:8" x14ac:dyDescent="0.25">
      <c r="A50" s="24" t="s">
        <v>54</v>
      </c>
      <c r="B50" s="22">
        <v>19938.2</v>
      </c>
      <c r="C50" s="29">
        <v>13.7</v>
      </c>
      <c r="D50" s="40"/>
      <c r="E50" s="24"/>
      <c r="F50" s="24"/>
      <c r="G50" s="24"/>
      <c r="H50" s="24"/>
    </row>
    <row r="51" spans="1:8" x14ac:dyDescent="0.25">
      <c r="A51" s="24" t="s">
        <v>55</v>
      </c>
      <c r="B51" s="22">
        <v>17537.8</v>
      </c>
      <c r="C51" s="29">
        <v>12.3</v>
      </c>
      <c r="D51" s="40"/>
      <c r="E51" s="24"/>
      <c r="F51" s="24"/>
      <c r="G51" s="24"/>
      <c r="H51" s="24"/>
    </row>
    <row r="52" spans="1:8" x14ac:dyDescent="0.25">
      <c r="A52" s="24" t="s">
        <v>56</v>
      </c>
      <c r="B52" s="22">
        <v>15610.4</v>
      </c>
      <c r="C52" s="29">
        <v>11.7</v>
      </c>
      <c r="D52" s="40"/>
      <c r="E52" s="24"/>
      <c r="F52" s="24"/>
      <c r="G52" s="24"/>
      <c r="H52" s="24"/>
    </row>
    <row r="53" spans="1:8" x14ac:dyDescent="0.25">
      <c r="A53" s="24" t="s">
        <v>57</v>
      </c>
      <c r="B53" s="22">
        <v>13975.9</v>
      </c>
      <c r="C53" s="29">
        <v>8.3000000000000007</v>
      </c>
      <c r="D53" s="40"/>
      <c r="E53" s="24"/>
      <c r="F53" s="24"/>
      <c r="G53" s="24"/>
      <c r="H53" s="24"/>
    </row>
    <row r="54" spans="1:8" x14ac:dyDescent="0.25">
      <c r="A54" s="24" t="s">
        <v>58</v>
      </c>
      <c r="B54" s="22">
        <v>12910.1</v>
      </c>
      <c r="C54" s="29">
        <v>10.4</v>
      </c>
      <c r="D54" s="40"/>
      <c r="E54" s="24"/>
      <c r="F54" s="24"/>
      <c r="G54" s="24"/>
      <c r="H54" s="24"/>
    </row>
    <row r="55" spans="1:8" x14ac:dyDescent="0.25">
      <c r="A55" s="24" t="s">
        <v>59</v>
      </c>
      <c r="B55" s="22">
        <v>11697.2</v>
      </c>
      <c r="C55" s="29">
        <v>12.7</v>
      </c>
      <c r="D55" s="40"/>
      <c r="E55" s="24"/>
      <c r="F55" s="24"/>
      <c r="G55" s="24"/>
      <c r="H55" s="24"/>
    </row>
    <row r="56" spans="1:8" x14ac:dyDescent="0.25">
      <c r="A56" s="24" t="s">
        <v>60</v>
      </c>
      <c r="B56" s="22">
        <v>10378.1</v>
      </c>
      <c r="C56" s="29">
        <v>17.600000000000001</v>
      </c>
      <c r="D56" s="40"/>
      <c r="E56" s="24"/>
      <c r="F56" s="24"/>
      <c r="G56" s="24"/>
      <c r="H56" s="24"/>
    </row>
    <row r="57" spans="1:8" ht="15.75" x14ac:dyDescent="0.25">
      <c r="A57" s="30"/>
      <c r="B57" s="22"/>
      <c r="C57" s="29"/>
      <c r="D57" s="40"/>
      <c r="E57" s="24"/>
      <c r="F57" s="24"/>
      <c r="G57" s="24"/>
      <c r="H57" s="24"/>
    </row>
    <row r="58" spans="1:8" x14ac:dyDescent="0.25">
      <c r="A58" s="31" t="s">
        <v>64</v>
      </c>
      <c r="B58" s="22"/>
      <c r="C58" s="29"/>
      <c r="D58" s="40"/>
      <c r="E58" s="24"/>
      <c r="F58" s="24"/>
      <c r="G58" s="24"/>
      <c r="H58" s="24"/>
    </row>
    <row r="59" spans="1:8" x14ac:dyDescent="0.25">
      <c r="A59" s="24" t="s">
        <v>49</v>
      </c>
      <c r="B59" s="32">
        <v>8826.9</v>
      </c>
      <c r="C59" s="29">
        <v>15.1</v>
      </c>
      <c r="D59" s="38">
        <f>(B59/B73-1)</f>
        <v>2.7435429831629836</v>
      </c>
      <c r="E59" s="24"/>
      <c r="F59" s="24"/>
      <c r="G59" s="24"/>
      <c r="H59" s="24"/>
    </row>
    <row r="60" spans="1:8" x14ac:dyDescent="0.25">
      <c r="A60" s="24" t="s">
        <v>50</v>
      </c>
      <c r="B60" s="22">
        <v>7668.9</v>
      </c>
      <c r="C60" s="29">
        <v>11.6</v>
      </c>
      <c r="D60" s="40"/>
      <c r="E60" s="24"/>
      <c r="F60" s="24"/>
      <c r="G60" s="24"/>
      <c r="H60" s="24"/>
    </row>
    <row r="61" spans="1:8" x14ac:dyDescent="0.25">
      <c r="A61" s="24" t="s">
        <v>51</v>
      </c>
      <c r="B61" s="22">
        <v>6873.9</v>
      </c>
      <c r="C61" s="29">
        <v>8</v>
      </c>
      <c r="D61" s="40"/>
      <c r="E61" s="24"/>
      <c r="F61" s="24"/>
      <c r="G61" s="24"/>
      <c r="H61" s="24"/>
    </row>
    <row r="62" spans="1:8" x14ac:dyDescent="0.25">
      <c r="A62" s="24" t="s">
        <v>52</v>
      </c>
      <c r="B62" s="22">
        <v>6364.4</v>
      </c>
      <c r="C62" s="29">
        <v>9.1999999999999993</v>
      </c>
      <c r="D62" s="40"/>
      <c r="E62" s="24"/>
      <c r="F62" s="24"/>
      <c r="G62" s="24"/>
      <c r="H62" s="24"/>
    </row>
    <row r="63" spans="1:8" x14ac:dyDescent="0.25">
      <c r="A63" s="24" t="s">
        <v>53</v>
      </c>
      <c r="B63" s="22">
        <v>5825.7</v>
      </c>
      <c r="C63" s="29">
        <v>7.1</v>
      </c>
      <c r="D63" s="40"/>
      <c r="E63" s="24"/>
      <c r="F63" s="24"/>
      <c r="G63" s="24"/>
      <c r="H63" s="24"/>
    </row>
    <row r="64" spans="1:8" x14ac:dyDescent="0.25">
      <c r="A64" s="24" t="s">
        <v>54</v>
      </c>
      <c r="B64" s="22">
        <v>5437.1</v>
      </c>
      <c r="C64" s="29">
        <v>8.6999999999999993</v>
      </c>
      <c r="D64" s="40"/>
      <c r="E64" s="24"/>
      <c r="F64" s="24"/>
      <c r="G64" s="24"/>
      <c r="H64" s="24"/>
    </row>
    <row r="65" spans="1:8" x14ac:dyDescent="0.25">
      <c r="A65" s="24" t="s">
        <v>55</v>
      </c>
      <c r="B65" s="22">
        <v>5001.5</v>
      </c>
      <c r="C65" s="29">
        <v>19.2</v>
      </c>
      <c r="D65" s="40"/>
      <c r="E65" s="24"/>
      <c r="F65" s="24"/>
      <c r="G65" s="24"/>
      <c r="H65" s="24"/>
    </row>
    <row r="66" spans="1:8" x14ac:dyDescent="0.25">
      <c r="A66" s="24" t="s">
        <v>56</v>
      </c>
      <c r="B66" s="22">
        <v>4195.8999999999996</v>
      </c>
      <c r="C66" s="29">
        <v>18.5</v>
      </c>
      <c r="D66" s="40"/>
      <c r="E66" s="24"/>
      <c r="F66" s="24"/>
      <c r="G66" s="24"/>
      <c r="H66" s="24"/>
    </row>
    <row r="67" spans="1:8" x14ac:dyDescent="0.25">
      <c r="A67" s="24" t="s">
        <v>57</v>
      </c>
      <c r="B67" s="22">
        <v>3541.6</v>
      </c>
      <c r="C67" s="29">
        <v>14.4</v>
      </c>
      <c r="D67" s="40"/>
      <c r="E67" s="24"/>
      <c r="F67" s="24"/>
      <c r="G67" s="24"/>
      <c r="H67" s="24"/>
    </row>
    <row r="68" spans="1:8" x14ac:dyDescent="0.25">
      <c r="A68" s="24" t="s">
        <v>58</v>
      </c>
      <c r="B68" s="22">
        <v>3096.2</v>
      </c>
      <c r="C68" s="29">
        <v>10.5</v>
      </c>
      <c r="D68" s="40"/>
      <c r="E68" s="24"/>
      <c r="F68" s="24"/>
      <c r="G68" s="24"/>
      <c r="H68" s="24"/>
    </row>
    <row r="69" spans="1:8" x14ac:dyDescent="0.25">
      <c r="A69" s="24" t="s">
        <v>59</v>
      </c>
      <c r="B69" s="22">
        <v>2801.1</v>
      </c>
      <c r="C69" s="29">
        <v>8.6999999999999993</v>
      </c>
      <c r="D69" s="40"/>
      <c r="E69" s="24"/>
      <c r="F69" s="24"/>
      <c r="G69" s="24"/>
      <c r="H69" s="24"/>
    </row>
    <row r="70" spans="1:8" x14ac:dyDescent="0.25">
      <c r="A70" s="24" t="s">
        <v>60</v>
      </c>
      <c r="B70" s="22">
        <v>2576.5</v>
      </c>
      <c r="C70" s="29">
        <v>9.3000000000000007</v>
      </c>
      <c r="D70" s="40"/>
      <c r="E70" s="24"/>
      <c r="F70" s="24"/>
      <c r="G70" s="24"/>
      <c r="H70" s="24"/>
    </row>
    <row r="71" spans="1:8" x14ac:dyDescent="0.25">
      <c r="A71" s="24"/>
      <c r="B71" s="22"/>
      <c r="C71" s="29"/>
      <c r="D71" s="40"/>
      <c r="E71" s="24"/>
      <c r="F71" s="24"/>
      <c r="G71" s="24"/>
      <c r="H71" s="24"/>
    </row>
    <row r="72" spans="1:8" x14ac:dyDescent="0.25">
      <c r="A72" s="31" t="s">
        <v>65</v>
      </c>
      <c r="B72" s="22"/>
      <c r="C72" s="29"/>
      <c r="D72" s="40"/>
      <c r="E72" s="24"/>
      <c r="F72" s="24"/>
      <c r="G72" s="24"/>
      <c r="H72" s="24"/>
    </row>
    <row r="73" spans="1:8" x14ac:dyDescent="0.25">
      <c r="A73" s="24" t="s">
        <v>49</v>
      </c>
      <c r="B73" s="25">
        <v>2357.9</v>
      </c>
      <c r="C73" s="29">
        <v>8.6999999999999993</v>
      </c>
      <c r="D73" s="38">
        <f>(B73/B87-1)</f>
        <v>1.8086956521739133</v>
      </c>
      <c r="E73" s="24"/>
      <c r="F73" s="24"/>
      <c r="G73" s="24"/>
      <c r="H73" s="24"/>
    </row>
    <row r="74" spans="1:8" x14ac:dyDescent="0.25">
      <c r="A74" s="24" t="s">
        <v>50</v>
      </c>
      <c r="B74" s="22">
        <v>2168.5</v>
      </c>
      <c r="C74" s="29">
        <v>11.1</v>
      </c>
      <c r="D74" s="40"/>
      <c r="E74" s="24"/>
      <c r="F74" s="24"/>
      <c r="G74" s="24"/>
      <c r="H74" s="24"/>
    </row>
    <row r="75" spans="1:8" x14ac:dyDescent="0.25">
      <c r="A75" s="24" t="s">
        <v>51</v>
      </c>
      <c r="B75" s="22">
        <v>1951.3</v>
      </c>
      <c r="C75" s="29">
        <v>11.4</v>
      </c>
      <c r="D75" s="40"/>
      <c r="E75" s="24"/>
      <c r="F75" s="24"/>
      <c r="G75" s="24"/>
      <c r="H75" s="24"/>
    </row>
    <row r="76" spans="1:8" x14ac:dyDescent="0.25">
      <c r="A76" s="24" t="s">
        <v>52</v>
      </c>
      <c r="B76" s="22">
        <v>1752.1</v>
      </c>
      <c r="C76" s="29">
        <v>11.5</v>
      </c>
      <c r="D76" s="40"/>
      <c r="E76" s="24"/>
      <c r="F76" s="24"/>
      <c r="G76" s="24"/>
      <c r="H76" s="24"/>
    </row>
    <row r="77" spans="1:8" x14ac:dyDescent="0.25">
      <c r="A77" s="24" t="s">
        <v>53</v>
      </c>
      <c r="B77" s="22">
        <v>1570.8</v>
      </c>
      <c r="C77" s="29">
        <v>12.4</v>
      </c>
      <c r="D77" s="40"/>
      <c r="E77" s="24"/>
      <c r="F77" s="24"/>
      <c r="G77" s="24"/>
      <c r="H77" s="24"/>
    </row>
    <row r="78" spans="1:8" x14ac:dyDescent="0.25">
      <c r="A78" s="24" t="s">
        <v>54</v>
      </c>
      <c r="B78" s="22">
        <v>1397.5</v>
      </c>
      <c r="C78" s="29">
        <v>10.8</v>
      </c>
      <c r="D78" s="40"/>
      <c r="E78" s="24"/>
      <c r="F78" s="24"/>
      <c r="G78" s="24"/>
      <c r="H78" s="24"/>
    </row>
    <row r="79" spans="1:8" x14ac:dyDescent="0.25">
      <c r="A79" s="24" t="s">
        <v>55</v>
      </c>
      <c r="B79" s="22">
        <v>1261.5999999999999</v>
      </c>
      <c r="C79" s="29">
        <v>9.8000000000000007</v>
      </c>
      <c r="D79" s="40"/>
      <c r="E79" s="24"/>
      <c r="F79" s="24"/>
      <c r="G79" s="24"/>
      <c r="H79" s="24"/>
    </row>
    <row r="80" spans="1:8" x14ac:dyDescent="0.25">
      <c r="A80" s="24" t="s">
        <v>56</v>
      </c>
      <c r="B80" s="22">
        <v>1148.8</v>
      </c>
      <c r="C80" s="29">
        <v>8</v>
      </c>
      <c r="D80" s="40"/>
      <c r="E80" s="24"/>
      <c r="F80" s="24"/>
      <c r="G80" s="24"/>
      <c r="H80" s="24"/>
    </row>
    <row r="81" spans="1:8" x14ac:dyDescent="0.25">
      <c r="A81" s="24" t="s">
        <v>57</v>
      </c>
      <c r="B81" s="22">
        <v>1063.8</v>
      </c>
      <c r="C81" s="29">
        <v>6.4</v>
      </c>
      <c r="D81" s="40"/>
      <c r="E81" s="24"/>
      <c r="F81" s="24"/>
      <c r="G81" s="24"/>
      <c r="H81" s="24"/>
    </row>
    <row r="82" spans="1:8" x14ac:dyDescent="0.25">
      <c r="A82" s="24" t="s">
        <v>58</v>
      </c>
      <c r="B82" s="22">
        <v>1000.2</v>
      </c>
      <c r="C82" s="29">
        <v>5.4</v>
      </c>
      <c r="D82" s="40"/>
      <c r="E82" s="24"/>
      <c r="F82" s="24"/>
      <c r="G82" s="24"/>
      <c r="H82" s="24"/>
    </row>
    <row r="83" spans="1:8" x14ac:dyDescent="0.25">
      <c r="A83" s="24" t="s">
        <v>59</v>
      </c>
      <c r="B83" s="22">
        <v>949.1</v>
      </c>
      <c r="C83" s="29">
        <v>4.9000000000000004</v>
      </c>
      <c r="D83" s="40"/>
      <c r="E83" s="24"/>
      <c r="F83" s="24"/>
      <c r="G83" s="24"/>
      <c r="H83" s="24"/>
    </row>
    <row r="84" spans="1:8" x14ac:dyDescent="0.25">
      <c r="A84" s="24" t="s">
        <v>60</v>
      </c>
      <c r="B84" s="22">
        <v>904.8</v>
      </c>
      <c r="C84" s="29">
        <v>7.8</v>
      </c>
      <c r="D84" s="40"/>
      <c r="E84" s="24"/>
      <c r="F84" s="24"/>
      <c r="G84" s="24"/>
      <c r="H84" s="24"/>
    </row>
    <row r="85" spans="1:8" ht="15.75" x14ac:dyDescent="0.25">
      <c r="A85" s="30"/>
      <c r="B85" s="22"/>
      <c r="C85" s="29"/>
      <c r="D85" s="40"/>
      <c r="E85" s="24"/>
      <c r="F85" s="24"/>
      <c r="G85" s="24"/>
      <c r="H85" s="24"/>
    </row>
    <row r="86" spans="1:8" x14ac:dyDescent="0.25">
      <c r="A86" s="31" t="s">
        <v>66</v>
      </c>
      <c r="B86" s="22"/>
      <c r="C86" s="29"/>
      <c r="D86" s="40"/>
      <c r="E86" s="24"/>
      <c r="F86" s="24"/>
      <c r="G86" s="24"/>
      <c r="H86" s="24"/>
    </row>
    <row r="87" spans="1:8" x14ac:dyDescent="0.25">
      <c r="A87" s="24" t="s">
        <v>49</v>
      </c>
      <c r="B87" s="25">
        <v>839.5</v>
      </c>
      <c r="C87" s="29">
        <v>5.3</v>
      </c>
      <c r="D87" s="38">
        <f>(B87/B101-1)</f>
        <v>0.68540453724151762</v>
      </c>
      <c r="E87" s="24"/>
      <c r="F87" s="24"/>
      <c r="G87" s="24"/>
      <c r="H87" s="24"/>
    </row>
    <row r="88" spans="1:8" x14ac:dyDescent="0.25">
      <c r="A88" s="24" t="s">
        <v>50</v>
      </c>
      <c r="B88" s="22">
        <v>797.3</v>
      </c>
      <c r="C88" s="29">
        <v>4.7</v>
      </c>
      <c r="D88" s="40"/>
      <c r="E88" s="24"/>
      <c r="F88" s="24"/>
      <c r="G88" s="24"/>
      <c r="H88" s="24"/>
    </row>
    <row r="89" spans="1:8" x14ac:dyDescent="0.25">
      <c r="A89" s="24" t="s">
        <v>51</v>
      </c>
      <c r="B89" s="22">
        <v>761.8</v>
      </c>
      <c r="C89" s="29">
        <v>5</v>
      </c>
      <c r="D89" s="40"/>
      <c r="E89" s="24"/>
      <c r="F89" s="24"/>
      <c r="G89" s="24"/>
      <c r="H89" s="24"/>
    </row>
    <row r="90" spans="1:8" x14ac:dyDescent="0.25">
      <c r="A90" s="24" t="s">
        <v>52</v>
      </c>
      <c r="B90" s="22">
        <v>725.4</v>
      </c>
      <c r="C90" s="29">
        <v>4.8</v>
      </c>
      <c r="D90" s="40"/>
      <c r="E90" s="24"/>
      <c r="F90" s="24"/>
      <c r="G90" s="24"/>
      <c r="H90" s="24"/>
    </row>
    <row r="91" spans="1:8" x14ac:dyDescent="0.25">
      <c r="A91" s="24" t="s">
        <v>53</v>
      </c>
      <c r="B91" s="22">
        <v>692.4</v>
      </c>
      <c r="C91" s="29">
        <v>3.9</v>
      </c>
      <c r="D91" s="40"/>
      <c r="E91" s="24"/>
      <c r="F91" s="24"/>
      <c r="G91" s="24"/>
      <c r="H91" s="24"/>
    </row>
    <row r="92" spans="1:8" x14ac:dyDescent="0.25">
      <c r="A92" s="24" t="s">
        <v>54</v>
      </c>
      <c r="B92" s="22">
        <v>666.2</v>
      </c>
      <c r="C92" s="29">
        <v>4.0999999999999996</v>
      </c>
      <c r="D92" s="40"/>
      <c r="E92" s="24"/>
      <c r="F92" s="24"/>
      <c r="G92" s="24"/>
      <c r="H92" s="24"/>
    </row>
    <row r="93" spans="1:8" x14ac:dyDescent="0.25">
      <c r="A93" s="24" t="s">
        <v>55</v>
      </c>
      <c r="B93" s="22">
        <v>639.70000000000005</v>
      </c>
      <c r="C93" s="29">
        <v>4.4000000000000004</v>
      </c>
      <c r="D93" s="40"/>
      <c r="E93" s="24"/>
      <c r="F93" s="24"/>
      <c r="G93" s="24"/>
      <c r="H93" s="24"/>
    </row>
    <row r="94" spans="1:8" x14ac:dyDescent="0.25">
      <c r="A94" s="24" t="s">
        <v>56</v>
      </c>
      <c r="B94" s="22">
        <v>612.6</v>
      </c>
      <c r="C94" s="29">
        <v>5.7</v>
      </c>
      <c r="D94" s="40"/>
      <c r="E94" s="24"/>
      <c r="F94" s="24"/>
      <c r="G94" s="24"/>
      <c r="H94" s="24"/>
    </row>
    <row r="95" spans="1:8" x14ac:dyDescent="0.25">
      <c r="A95" s="24" t="s">
        <v>57</v>
      </c>
      <c r="B95" s="22">
        <v>579.4</v>
      </c>
      <c r="C95" s="33">
        <v>5.7</v>
      </c>
      <c r="D95" s="40"/>
      <c r="E95" s="24"/>
      <c r="F95" s="24"/>
      <c r="G95" s="24"/>
      <c r="H95" s="24"/>
    </row>
    <row r="96" spans="1:8" x14ac:dyDescent="0.25">
      <c r="A96" s="24" t="s">
        <v>58</v>
      </c>
      <c r="B96" s="22">
        <v>548.29999999999995</v>
      </c>
      <c r="C96" s="33">
        <v>4.0999999999999996</v>
      </c>
      <c r="D96" s="40"/>
      <c r="E96" s="24"/>
      <c r="F96" s="24"/>
      <c r="G96" s="24"/>
      <c r="H96" s="24"/>
    </row>
    <row r="97" spans="1:8" x14ac:dyDescent="0.25">
      <c r="A97" s="24" t="s">
        <v>59</v>
      </c>
      <c r="B97" s="22">
        <v>526.79999999999995</v>
      </c>
      <c r="C97" s="33">
        <v>2.4</v>
      </c>
      <c r="D97" s="40"/>
      <c r="E97" s="24"/>
      <c r="F97" s="24"/>
      <c r="G97" s="24"/>
      <c r="H97" s="24"/>
    </row>
    <row r="98" spans="1:8" x14ac:dyDescent="0.25">
      <c r="A98" s="24" t="s">
        <v>60</v>
      </c>
      <c r="B98" s="22">
        <v>514.70000000000005</v>
      </c>
      <c r="C98" s="29">
        <v>3.3</v>
      </c>
      <c r="D98" s="40"/>
      <c r="E98" s="24"/>
      <c r="F98" s="24"/>
      <c r="G98" s="24"/>
      <c r="H98" s="24"/>
    </row>
    <row r="99" spans="1:8" ht="15.75" x14ac:dyDescent="0.25">
      <c r="A99" s="30"/>
      <c r="B99" s="22"/>
      <c r="C99" s="29"/>
      <c r="D99" s="40"/>
      <c r="E99" s="24"/>
      <c r="F99" s="24"/>
      <c r="G99" s="24"/>
      <c r="H99" s="24"/>
    </row>
    <row r="100" spans="1:8" x14ac:dyDescent="0.25">
      <c r="A100" s="31" t="s">
        <v>67</v>
      </c>
      <c r="B100" s="22"/>
      <c r="C100" s="29"/>
      <c r="D100" s="40"/>
      <c r="E100" s="24"/>
      <c r="F100" s="24"/>
      <c r="G100" s="24"/>
      <c r="H100" s="24"/>
    </row>
    <row r="101" spans="1:8" x14ac:dyDescent="0.25">
      <c r="A101" s="24" t="s">
        <v>49</v>
      </c>
      <c r="B101" s="25">
        <v>498.1</v>
      </c>
      <c r="C101" s="29">
        <v>2.2000000000000002</v>
      </c>
      <c r="D101" s="38">
        <f>(B101/B115-1)</f>
        <v>0.56193164001254337</v>
      </c>
      <c r="E101" s="24"/>
      <c r="F101" s="24"/>
      <c r="G101" s="24"/>
      <c r="H101" s="24"/>
    </row>
    <row r="102" spans="1:8" x14ac:dyDescent="0.25">
      <c r="A102" s="24" t="s">
        <v>50</v>
      </c>
      <c r="B102" s="22">
        <v>487.3</v>
      </c>
      <c r="C102" s="29">
        <v>4.8</v>
      </c>
      <c r="D102" s="40"/>
      <c r="E102" s="24"/>
      <c r="F102" s="24"/>
      <c r="G102" s="24"/>
      <c r="H102" s="24"/>
    </row>
    <row r="103" spans="1:8" x14ac:dyDescent="0.25">
      <c r="A103" s="24" t="s">
        <v>51</v>
      </c>
      <c r="B103" s="22">
        <v>464.9</v>
      </c>
      <c r="C103" s="29">
        <v>5.0999999999999996</v>
      </c>
      <c r="D103" s="40"/>
      <c r="E103" s="24"/>
      <c r="F103" s="24"/>
      <c r="G103" s="24"/>
      <c r="H103" s="24"/>
    </row>
    <row r="104" spans="1:8" x14ac:dyDescent="0.25">
      <c r="A104" s="24" t="s">
        <v>52</v>
      </c>
      <c r="B104" s="22">
        <v>442.3</v>
      </c>
      <c r="C104" s="29">
        <v>4.4000000000000004</v>
      </c>
      <c r="D104" s="40"/>
      <c r="E104" s="24"/>
      <c r="F104" s="24"/>
      <c r="G104" s="24"/>
      <c r="H104" s="24"/>
    </row>
    <row r="105" spans="1:8" x14ac:dyDescent="0.25">
      <c r="A105" s="24" t="s">
        <v>53</v>
      </c>
      <c r="B105" s="22">
        <v>423.7</v>
      </c>
      <c r="C105" s="29">
        <v>3</v>
      </c>
      <c r="D105" s="40"/>
      <c r="E105" s="24"/>
      <c r="F105" s="24"/>
      <c r="G105" s="24"/>
      <c r="H105" s="24"/>
    </row>
    <row r="106" spans="1:8" x14ac:dyDescent="0.25">
      <c r="A106" s="24" t="s">
        <v>54</v>
      </c>
      <c r="B106" s="22">
        <v>411.3</v>
      </c>
      <c r="C106" s="29">
        <v>3.2</v>
      </c>
      <c r="D106" s="40"/>
      <c r="E106" s="24"/>
      <c r="F106" s="24"/>
      <c r="G106" s="24"/>
      <c r="H106" s="24"/>
    </row>
    <row r="107" spans="1:8" x14ac:dyDescent="0.25">
      <c r="A107" s="24" t="s">
        <v>55</v>
      </c>
      <c r="B107" s="22">
        <v>398.6</v>
      </c>
      <c r="C107" s="29">
        <v>4.7</v>
      </c>
      <c r="D107" s="40"/>
      <c r="E107" s="24"/>
      <c r="F107" s="24"/>
      <c r="G107" s="24"/>
      <c r="H107" s="24"/>
    </row>
    <row r="108" spans="1:8" x14ac:dyDescent="0.25">
      <c r="A108" s="24" t="s">
        <v>56</v>
      </c>
      <c r="B108" s="22">
        <v>380.7</v>
      </c>
      <c r="C108" s="29">
        <v>6.1</v>
      </c>
      <c r="D108" s="40"/>
      <c r="E108" s="24"/>
      <c r="F108" s="24"/>
      <c r="G108" s="24"/>
      <c r="H108" s="24"/>
    </row>
    <row r="109" spans="1:8" x14ac:dyDescent="0.25">
      <c r="A109" s="24" t="s">
        <v>57</v>
      </c>
      <c r="B109" s="22">
        <v>358.8</v>
      </c>
      <c r="C109" s="33">
        <v>4.3</v>
      </c>
      <c r="D109" s="40"/>
      <c r="E109" s="24"/>
      <c r="F109" s="24"/>
      <c r="G109" s="24"/>
      <c r="H109" s="24"/>
    </row>
    <row r="110" spans="1:8" x14ac:dyDescent="0.25">
      <c r="A110" s="24" t="s">
        <v>58</v>
      </c>
      <c r="B110" s="22">
        <v>344.1</v>
      </c>
      <c r="C110" s="33">
        <v>2.8</v>
      </c>
      <c r="D110" s="40"/>
      <c r="E110" s="24"/>
      <c r="F110" s="24"/>
      <c r="G110" s="24"/>
      <c r="H110" s="24"/>
    </row>
    <row r="111" spans="1:8" x14ac:dyDescent="0.25">
      <c r="A111" s="24" t="s">
        <v>59</v>
      </c>
      <c r="B111" s="22">
        <v>334.8</v>
      </c>
      <c r="C111" s="33">
        <v>1.6</v>
      </c>
      <c r="D111" s="40"/>
      <c r="E111" s="24"/>
      <c r="F111" s="24"/>
      <c r="G111" s="24"/>
      <c r="H111" s="24"/>
    </row>
    <row r="112" spans="1:8" x14ac:dyDescent="0.25">
      <c r="A112" s="24" t="s">
        <v>60</v>
      </c>
      <c r="B112" s="22">
        <v>329.4</v>
      </c>
      <c r="C112" s="29">
        <v>3.3</v>
      </c>
      <c r="D112" s="40"/>
      <c r="E112" s="24"/>
      <c r="F112" s="24"/>
      <c r="G112" s="24"/>
      <c r="H112" s="24"/>
    </row>
    <row r="113" spans="1:8" ht="15.75" x14ac:dyDescent="0.25">
      <c r="A113" s="30"/>
      <c r="B113" s="22"/>
      <c r="C113" s="29"/>
      <c r="D113" s="40"/>
      <c r="E113" s="24"/>
      <c r="F113" s="24"/>
      <c r="G113" s="24"/>
      <c r="H113" s="24"/>
    </row>
    <row r="114" spans="1:8" x14ac:dyDescent="0.25">
      <c r="A114" s="31" t="s">
        <v>68</v>
      </c>
      <c r="B114" s="34"/>
      <c r="C114" s="35"/>
      <c r="D114" s="40"/>
      <c r="E114" s="24"/>
      <c r="F114" s="24"/>
      <c r="G114" s="24"/>
      <c r="H114" s="24"/>
    </row>
    <row r="115" spans="1:8" x14ac:dyDescent="0.25">
      <c r="A115" s="24" t="s">
        <v>49</v>
      </c>
      <c r="B115" s="36">
        <v>318.89999999999998</v>
      </c>
      <c r="C115" s="37">
        <v>3.5</v>
      </c>
      <c r="D115" s="41"/>
      <c r="E115" s="24"/>
      <c r="F115" s="24"/>
      <c r="G115" s="24"/>
      <c r="H115" s="24"/>
    </row>
  </sheetData>
  <sheetProtection algorithmName="SHA-512" hashValue="B26u8sTfzsRCTDQ76MxSRtjUFAYy9CvFbCiamp6yg+LWuaPmJz6cCha5fw8+RBP8IlkojmVlT8pOTYRIAroUGQ==" saltValue="+ZvkHm3aTTBfLNOD8icLuQ==" spinCount="100000" sheet="1" objects="1" scenarios="1"/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4137-2D31-4028-9E62-40D5E5FF632D}">
  <dimension ref="A1:L238"/>
  <sheetViews>
    <sheetView showGridLines="0" topLeftCell="A5" zoomScaleNormal="100" workbookViewId="0">
      <selection activeCell="C67" sqref="C67"/>
    </sheetView>
  </sheetViews>
  <sheetFormatPr baseColWidth="10" defaultRowHeight="15" x14ac:dyDescent="0.25"/>
  <cols>
    <col min="1" max="1" width="8.5703125" style="43" customWidth="1"/>
    <col min="2" max="2" width="22.85546875" bestFit="1" customWidth="1"/>
    <col min="3" max="3" width="18.42578125" style="43" bestFit="1" customWidth="1"/>
    <col min="4" max="4" width="20.140625" style="49" customWidth="1"/>
    <col min="5" max="5" width="14.7109375" style="49" bestFit="1" customWidth="1"/>
    <col min="6" max="6" width="14" style="134" customWidth="1"/>
    <col min="7" max="7" width="11.140625" bestFit="1" customWidth="1"/>
    <col min="8" max="8" width="14.5703125" customWidth="1"/>
    <col min="12" max="12" width="13.42578125" customWidth="1"/>
  </cols>
  <sheetData>
    <row r="1" spans="1:12" x14ac:dyDescent="0.25">
      <c r="A1" s="242" t="s">
        <v>76</v>
      </c>
      <c r="B1" s="243"/>
      <c r="C1" s="243"/>
      <c r="D1" s="244"/>
      <c r="E1" s="45"/>
      <c r="G1" s="73" t="s">
        <v>38</v>
      </c>
      <c r="H1" s="74"/>
      <c r="I1" s="75">
        <v>2.5515847412347495E+28</v>
      </c>
    </row>
    <row r="2" spans="1:12" x14ac:dyDescent="0.25">
      <c r="A2" s="51" t="s">
        <v>75</v>
      </c>
      <c r="B2" s="45" t="s">
        <v>3</v>
      </c>
      <c r="C2" s="45" t="s">
        <v>69</v>
      </c>
      <c r="D2" s="52" t="s">
        <v>74</v>
      </c>
      <c r="E2" s="110"/>
      <c r="G2" s="76" t="s">
        <v>14</v>
      </c>
      <c r="H2" s="70"/>
      <c r="I2" s="77">
        <v>0.16666666666666666</v>
      </c>
    </row>
    <row r="3" spans="1:12" x14ac:dyDescent="0.25">
      <c r="A3" s="53">
        <v>2020</v>
      </c>
      <c r="B3" s="46">
        <v>327767509170</v>
      </c>
      <c r="C3" s="48">
        <f>(B3/B4-1)</f>
        <v>29.598392386443656</v>
      </c>
      <c r="D3" s="54">
        <v>1027806550.1759173</v>
      </c>
      <c r="E3" s="111"/>
      <c r="G3" s="78" t="s">
        <v>15</v>
      </c>
      <c r="H3" s="65"/>
      <c r="I3" s="77">
        <v>0.40824829046386302</v>
      </c>
    </row>
    <row r="4" spans="1:12" x14ac:dyDescent="0.25">
      <c r="A4" s="55" t="s">
        <v>61</v>
      </c>
      <c r="B4" s="46">
        <v>10711919274.4</v>
      </c>
      <c r="C4" s="48">
        <f t="shared" ref="C4:C10" si="0">(B4/B5-1)</f>
        <v>95.854941678445954</v>
      </c>
      <c r="D4" s="54">
        <v>33590213.093446225</v>
      </c>
      <c r="E4" s="111"/>
      <c r="G4" s="78" t="s">
        <v>16</v>
      </c>
      <c r="H4" s="65"/>
      <c r="I4" s="77">
        <v>3.7257658472686894E+27</v>
      </c>
    </row>
    <row r="5" spans="1:12" x14ac:dyDescent="0.25">
      <c r="A5" s="55" t="s">
        <v>62</v>
      </c>
      <c r="B5" s="46">
        <v>110597550.2</v>
      </c>
      <c r="C5" s="48">
        <f t="shared" si="0"/>
        <v>1300.6024446188844</v>
      </c>
      <c r="D5" s="54">
        <v>346808.50203825656</v>
      </c>
      <c r="E5" s="111"/>
      <c r="G5" s="78" t="s">
        <v>17</v>
      </c>
      <c r="H5" s="65"/>
      <c r="I5" s="77">
        <v>61039051821507.594</v>
      </c>
    </row>
    <row r="6" spans="1:12" x14ac:dyDescent="0.25">
      <c r="A6" s="55" t="s">
        <v>70</v>
      </c>
      <c r="B6" s="46">
        <v>84970.3</v>
      </c>
      <c r="C6" s="48">
        <f t="shared" si="0"/>
        <v>8.6262900905187561</v>
      </c>
      <c r="D6" s="54">
        <v>265.44810285355913</v>
      </c>
      <c r="E6" s="111"/>
      <c r="G6" s="79" t="s">
        <v>18</v>
      </c>
      <c r="H6" s="68"/>
      <c r="I6" s="77">
        <v>6</v>
      </c>
    </row>
    <row r="7" spans="1:12" x14ac:dyDescent="0.25">
      <c r="A7" s="55" t="s">
        <v>71</v>
      </c>
      <c r="B7" s="47">
        <v>8826.9</v>
      </c>
      <c r="C7" s="48">
        <f t="shared" si="0"/>
        <v>2.7435429831629836</v>
      </c>
      <c r="D7" s="54">
        <v>26.679209783631233</v>
      </c>
      <c r="E7" s="111"/>
      <c r="G7" s="76" t="s">
        <v>20</v>
      </c>
      <c r="H7" s="70"/>
      <c r="I7" s="77">
        <v>0.99910209416378548</v>
      </c>
    </row>
    <row r="8" spans="1:12" x14ac:dyDescent="0.25">
      <c r="A8" s="55" t="s">
        <v>65</v>
      </c>
      <c r="B8" s="46">
        <v>2357.9</v>
      </c>
      <c r="C8" s="48">
        <f t="shared" si="0"/>
        <v>1.8086956521739133</v>
      </c>
      <c r="D8" s="54">
        <v>6.3938538726873633</v>
      </c>
      <c r="E8" s="111"/>
      <c r="G8" s="80" t="s">
        <v>45</v>
      </c>
      <c r="H8" s="69"/>
      <c r="I8" s="81">
        <v>0.9982049945624617</v>
      </c>
    </row>
    <row r="9" spans="1:12" x14ac:dyDescent="0.25">
      <c r="A9" s="55" t="s">
        <v>66</v>
      </c>
      <c r="B9" s="46">
        <v>839.5</v>
      </c>
      <c r="C9" s="48">
        <f t="shared" si="0"/>
        <v>0.68540453724151762</v>
      </c>
      <c r="D9" s="54">
        <v>1.6324866729382252</v>
      </c>
      <c r="E9" s="111"/>
      <c r="G9" s="79" t="s">
        <v>22</v>
      </c>
      <c r="H9" s="68"/>
      <c r="I9" s="77">
        <v>-1899177015.9409409</v>
      </c>
    </row>
    <row r="10" spans="1:12" ht="15.75" thickBot="1" x14ac:dyDescent="0.3">
      <c r="A10" s="55" t="s">
        <v>72</v>
      </c>
      <c r="B10" s="46">
        <v>498.1</v>
      </c>
      <c r="C10" s="48">
        <f t="shared" si="0"/>
        <v>0.56193164001254337</v>
      </c>
      <c r="D10" s="54">
        <v>0.56193164001254337</v>
      </c>
      <c r="E10" s="111"/>
      <c r="G10" s="82" t="s">
        <v>24</v>
      </c>
      <c r="H10" s="83"/>
      <c r="I10" s="84">
        <v>7.7960428545131616E-4</v>
      </c>
    </row>
    <row r="11" spans="1:12" ht="15.75" thickBot="1" x14ac:dyDescent="0.3">
      <c r="A11" s="56" t="s">
        <v>73</v>
      </c>
      <c r="B11" s="57">
        <v>318.89999999999998</v>
      </c>
      <c r="C11" s="58"/>
      <c r="D11" s="59"/>
      <c r="E11" s="112"/>
    </row>
    <row r="12" spans="1:12" ht="15.75" thickBot="1" x14ac:dyDescent="0.3"/>
    <row r="13" spans="1:12" x14ac:dyDescent="0.25">
      <c r="A13" s="6"/>
      <c r="B13" s="7"/>
      <c r="C13" s="8" t="s">
        <v>3</v>
      </c>
      <c r="D13" s="9" t="s">
        <v>4</v>
      </c>
      <c r="E13" s="50"/>
      <c r="L13" s="88"/>
    </row>
    <row r="14" spans="1:12" ht="15.75" thickBot="1" x14ac:dyDescent="0.3">
      <c r="A14" s="10" t="s">
        <v>48</v>
      </c>
      <c r="B14" s="11" t="s">
        <v>6</v>
      </c>
      <c r="C14" s="11" t="s">
        <v>7</v>
      </c>
      <c r="D14" s="12" t="s">
        <v>8</v>
      </c>
      <c r="E14" s="50"/>
      <c r="L14" s="85"/>
    </row>
    <row r="15" spans="1:12" x14ac:dyDescent="0.25">
      <c r="A15" s="60">
        <v>2020</v>
      </c>
      <c r="B15" s="61">
        <v>1</v>
      </c>
      <c r="C15" s="62">
        <v>327767509170</v>
      </c>
      <c r="D15" s="63">
        <f>421704062.527016*1000000</f>
        <v>421704062527016</v>
      </c>
      <c r="E15" s="113"/>
      <c r="L15" s="91"/>
    </row>
    <row r="16" spans="1:12" x14ac:dyDescent="0.25">
      <c r="A16" s="60">
        <f>A15-1</f>
        <v>2019</v>
      </c>
      <c r="B16" s="61">
        <v>2</v>
      </c>
      <c r="C16" s="62">
        <v>10711919274.4</v>
      </c>
      <c r="D16" s="64">
        <f>31658408.1923823*1000000</f>
        <v>31658408192382.297</v>
      </c>
      <c r="E16" s="114"/>
      <c r="L16" s="91"/>
    </row>
    <row r="17" spans="1:12" x14ac:dyDescent="0.25">
      <c r="A17" s="93">
        <f t="shared" ref="A17:A22" si="1">A16-1</f>
        <v>2018</v>
      </c>
      <c r="B17" s="94">
        <v>3</v>
      </c>
      <c r="C17" s="95">
        <v>110597550.2</v>
      </c>
      <c r="D17" s="96">
        <f>435323.847619253*1000000</f>
        <v>435323847619.25299</v>
      </c>
      <c r="E17" s="115"/>
      <c r="G17" s="97"/>
      <c r="H17" s="97"/>
      <c r="L17" s="85"/>
    </row>
    <row r="18" spans="1:12" x14ac:dyDescent="0.25">
      <c r="A18" s="93">
        <f t="shared" si="1"/>
        <v>2017</v>
      </c>
      <c r="B18" s="94">
        <v>4</v>
      </c>
      <c r="C18" s="95">
        <v>84970.3</v>
      </c>
      <c r="D18" s="98">
        <f>988250978.921632</f>
        <v>988250978.92163205</v>
      </c>
      <c r="E18" s="116"/>
      <c r="F18" s="135"/>
      <c r="G18" s="97"/>
      <c r="H18" s="97"/>
      <c r="L18" s="85"/>
    </row>
    <row r="19" spans="1:12" x14ac:dyDescent="0.25">
      <c r="A19" s="93">
        <f t="shared" si="1"/>
        <v>2016</v>
      </c>
      <c r="B19" s="94">
        <v>5</v>
      </c>
      <c r="C19" s="95">
        <v>8826.9</v>
      </c>
      <c r="D19" s="98">
        <f>53794621.7784148</f>
        <v>53794621.778414801</v>
      </c>
      <c r="E19" s="116"/>
      <c r="G19" s="97"/>
      <c r="H19" s="97"/>
      <c r="L19" s="85"/>
    </row>
    <row r="20" spans="1:12" x14ac:dyDescent="0.25">
      <c r="A20" s="93">
        <f t="shared" si="1"/>
        <v>2015</v>
      </c>
      <c r="B20" s="94">
        <v>6</v>
      </c>
      <c r="C20" s="95">
        <v>2357.9</v>
      </c>
      <c r="D20" s="98">
        <f>16009454.2408721</f>
        <v>16009454.2408721</v>
      </c>
      <c r="E20" s="116"/>
      <c r="G20" s="97"/>
      <c r="H20" s="97"/>
      <c r="L20" s="85"/>
    </row>
    <row r="21" spans="1:12" x14ac:dyDescent="0.25">
      <c r="A21" s="93">
        <f t="shared" si="1"/>
        <v>2014</v>
      </c>
      <c r="B21" s="94">
        <v>7</v>
      </c>
      <c r="C21" s="95">
        <v>839.5</v>
      </c>
      <c r="D21" s="98">
        <f>7579941.1852733</f>
        <v>7579941.1852732999</v>
      </c>
      <c r="E21" s="116"/>
      <c r="G21" s="97"/>
      <c r="H21" s="97"/>
      <c r="L21" s="85"/>
    </row>
    <row r="22" spans="1:12" x14ac:dyDescent="0.25">
      <c r="A22" s="93">
        <f t="shared" si="1"/>
        <v>2013</v>
      </c>
      <c r="B22" s="94">
        <v>8</v>
      </c>
      <c r="C22" s="95">
        <v>498.1</v>
      </c>
      <c r="D22" s="98">
        <f>4448942.9254386</f>
        <v>4448942.9254385997</v>
      </c>
      <c r="E22" s="116"/>
      <c r="G22" s="97"/>
      <c r="H22" s="97"/>
      <c r="L22" s="85"/>
    </row>
    <row r="23" spans="1:12" ht="15.75" thickBot="1" x14ac:dyDescent="0.3">
      <c r="A23" s="99">
        <v>2012</v>
      </c>
      <c r="B23" s="100">
        <v>9</v>
      </c>
      <c r="C23" s="101">
        <v>318.89999999999998</v>
      </c>
      <c r="D23" s="102">
        <v>2683557.3550274004</v>
      </c>
      <c r="E23" s="116"/>
      <c r="G23" s="97"/>
      <c r="H23" s="97"/>
    </row>
    <row r="24" spans="1:12" ht="15.75" thickBot="1" x14ac:dyDescent="0.3">
      <c r="A24" s="103"/>
      <c r="B24" s="97"/>
      <c r="C24" s="103"/>
      <c r="D24" s="104"/>
      <c r="E24" s="104"/>
      <c r="G24" s="97"/>
      <c r="H24" s="97"/>
    </row>
    <row r="25" spans="1:12" x14ac:dyDescent="0.25">
      <c r="A25" s="128"/>
      <c r="B25" s="245" t="s">
        <v>82</v>
      </c>
      <c r="C25" s="246"/>
      <c r="D25" s="120"/>
      <c r="E25" s="120"/>
      <c r="F25" s="136"/>
      <c r="G25" s="97"/>
      <c r="H25" s="97"/>
    </row>
    <row r="26" spans="1:12" ht="15.75" thickBot="1" x14ac:dyDescent="0.3">
      <c r="A26" s="129" t="s">
        <v>81</v>
      </c>
      <c r="B26" s="121" t="s">
        <v>78</v>
      </c>
      <c r="C26" s="117" t="s">
        <v>79</v>
      </c>
      <c r="D26" s="107" t="s">
        <v>4</v>
      </c>
      <c r="E26" s="121" t="s">
        <v>79</v>
      </c>
      <c r="F26" s="137" t="s">
        <v>80</v>
      </c>
      <c r="G26" s="97"/>
      <c r="H26" s="97"/>
    </row>
    <row r="27" spans="1:12" x14ac:dyDescent="0.25">
      <c r="A27" s="125">
        <f>2020</f>
        <v>2020</v>
      </c>
      <c r="B27" s="126">
        <f>2143148809.71122*1000000</f>
        <v>2143148809711220</v>
      </c>
      <c r="C27" s="130">
        <f>B27/B28-1</f>
        <v>22.723026636780833</v>
      </c>
      <c r="D27" s="127">
        <f>421704062.527016*1000000</f>
        <v>421704062527016</v>
      </c>
      <c r="E27" s="130">
        <f>D27/D28-1</f>
        <v>12.320444286535139</v>
      </c>
      <c r="F27" s="138">
        <f>B27/D27</f>
        <v>5.0821156354734462</v>
      </c>
      <c r="G27" s="105"/>
      <c r="H27" s="105"/>
      <c r="I27" s="85"/>
      <c r="J27" s="85"/>
      <c r="K27" s="85"/>
    </row>
    <row r="28" spans="1:12" x14ac:dyDescent="0.25">
      <c r="A28" s="122">
        <f>A27-1</f>
        <v>2019</v>
      </c>
      <c r="B28" s="118">
        <f>90340446.1211717*1000000</f>
        <v>90340446121171.703</v>
      </c>
      <c r="C28" s="131">
        <f t="shared" ref="C28:E34" si="2">B28/B29-1</f>
        <v>75.817822328897208</v>
      </c>
      <c r="D28" s="106">
        <f>31658408.1923823*1000000</f>
        <v>31658408192382.297</v>
      </c>
      <c r="E28" s="131">
        <f t="shared" si="2"/>
        <v>71.723808643884979</v>
      </c>
      <c r="F28" s="139">
        <f t="shared" ref="F28:F35" si="3">B28/D28</f>
        <v>2.8536003949468811</v>
      </c>
      <c r="G28" s="97"/>
      <c r="H28" s="97"/>
    </row>
    <row r="29" spans="1:12" x14ac:dyDescent="0.25">
      <c r="A29" s="122">
        <f t="shared" ref="A29:A35" si="4">A28-1</f>
        <v>2018</v>
      </c>
      <c r="B29" s="118">
        <f>1176034.97967408*1000000</f>
        <v>1176034979674.0798</v>
      </c>
      <c r="C29" s="131">
        <f t="shared" si="2"/>
        <v>113977.83534020987</v>
      </c>
      <c r="D29" s="108">
        <f>435323.847619253*1000000</f>
        <v>435323847619.25299</v>
      </c>
      <c r="E29" s="131">
        <f t="shared" si="2"/>
        <v>439.49928297999088</v>
      </c>
      <c r="F29" s="139">
        <f t="shared" si="3"/>
        <v>2.701517470512377</v>
      </c>
      <c r="G29" s="97"/>
      <c r="H29" s="97"/>
    </row>
    <row r="30" spans="1:12" x14ac:dyDescent="0.25">
      <c r="A30" s="122">
        <f t="shared" si="4"/>
        <v>2017</v>
      </c>
      <c r="B30" s="118">
        <v>10318011.902506201</v>
      </c>
      <c r="C30" s="131">
        <f t="shared" si="2"/>
        <v>2.7948200602937856</v>
      </c>
      <c r="D30" s="109">
        <f>988250978.921632</f>
        <v>988250978.92163205</v>
      </c>
      <c r="E30" s="131">
        <f t="shared" si="2"/>
        <v>17.370813777487506</v>
      </c>
      <c r="F30" s="139">
        <f t="shared" si="3"/>
        <v>1.0440679667997997E-2</v>
      </c>
      <c r="G30" s="97"/>
      <c r="H30" s="97"/>
    </row>
    <row r="31" spans="1:12" x14ac:dyDescent="0.25">
      <c r="A31" s="122">
        <f t="shared" si="4"/>
        <v>2016</v>
      </c>
      <c r="B31" s="118">
        <v>2718972.6360061998</v>
      </c>
      <c r="C31" s="131">
        <f t="shared" si="2"/>
        <v>0.28137194972618751</v>
      </c>
      <c r="D31" s="109">
        <f>53794621.7784148</f>
        <v>53794621.778414801</v>
      </c>
      <c r="E31" s="131">
        <f t="shared" si="2"/>
        <v>2.360178365173577</v>
      </c>
      <c r="F31" s="139">
        <f t="shared" si="3"/>
        <v>5.0543577519810597E-2</v>
      </c>
      <c r="G31" s="97"/>
      <c r="H31" s="97"/>
    </row>
    <row r="32" spans="1:12" x14ac:dyDescent="0.25">
      <c r="A32" s="122">
        <f t="shared" si="4"/>
        <v>2015</v>
      </c>
      <c r="B32" s="118">
        <v>2121923.0189854</v>
      </c>
      <c r="C32" s="131">
        <f t="shared" si="2"/>
        <v>0.82451381986751948</v>
      </c>
      <c r="D32" s="109">
        <f>16009454.2408721</f>
        <v>16009454.2408721</v>
      </c>
      <c r="E32" s="131">
        <f t="shared" si="2"/>
        <v>1.112081591342172</v>
      </c>
      <c r="F32" s="139">
        <f t="shared" si="3"/>
        <v>0.13254187101320014</v>
      </c>
      <c r="G32" s="97"/>
      <c r="H32" s="97"/>
    </row>
    <row r="33" spans="1:11" x14ac:dyDescent="0.25">
      <c r="A33" s="122">
        <f t="shared" si="4"/>
        <v>2014</v>
      </c>
      <c r="B33" s="118">
        <v>1163007.3698972999</v>
      </c>
      <c r="C33" s="131">
        <f t="shared" si="2"/>
        <v>1.2716934673625158</v>
      </c>
      <c r="D33" s="109">
        <f>7579941.1852733</f>
        <v>7579941.1852732999</v>
      </c>
      <c r="E33" s="131">
        <f t="shared" si="2"/>
        <v>0.70376228967379495</v>
      </c>
      <c r="F33" s="139">
        <f t="shared" si="3"/>
        <v>0.15343224194890198</v>
      </c>
      <c r="G33" s="97"/>
      <c r="H33" s="97"/>
    </row>
    <row r="34" spans="1:11" x14ac:dyDescent="0.25">
      <c r="A34" s="122">
        <f t="shared" si="4"/>
        <v>2013</v>
      </c>
      <c r="B34" s="118">
        <v>511956.11846680002</v>
      </c>
      <c r="C34" s="131">
        <f t="shared" si="2"/>
        <v>1.3820388457351718</v>
      </c>
      <c r="D34" s="109">
        <f>4448942.9254386</f>
        <v>4448942.9254385997</v>
      </c>
      <c r="E34" s="131">
        <f t="shared" si="2"/>
        <v>0.65785274427017937</v>
      </c>
      <c r="F34" s="139">
        <f t="shared" si="3"/>
        <v>0.11507365390989563</v>
      </c>
      <c r="G34" s="97"/>
      <c r="H34" s="97"/>
    </row>
    <row r="35" spans="1:11" ht="15.75" thickBot="1" x14ac:dyDescent="0.3">
      <c r="A35" s="123">
        <f t="shared" si="4"/>
        <v>2012</v>
      </c>
      <c r="B35" s="119">
        <v>214923.49689569999</v>
      </c>
      <c r="C35" s="132"/>
      <c r="D35" s="124">
        <v>2683557.3550274004</v>
      </c>
      <c r="E35" s="133"/>
      <c r="F35" s="140">
        <f t="shared" si="3"/>
        <v>8.0089026788661838E-2</v>
      </c>
      <c r="G35" s="97"/>
      <c r="H35" s="97"/>
    </row>
    <row r="36" spans="1:11" x14ac:dyDescent="0.25">
      <c r="B36" s="92"/>
    </row>
    <row r="37" spans="1:11" x14ac:dyDescent="0.25">
      <c r="C37" s="49"/>
      <c r="D37" s="134"/>
      <c r="E37"/>
      <c r="F37"/>
    </row>
    <row r="38" spans="1:11" ht="15.75" x14ac:dyDescent="0.25">
      <c r="A38" s="216" t="s">
        <v>83</v>
      </c>
      <c r="B38" s="215"/>
      <c r="C38" s="142"/>
      <c r="D38" s="134"/>
      <c r="E38"/>
      <c r="F38"/>
    </row>
    <row r="39" spans="1:11" x14ac:dyDescent="0.25">
      <c r="A39" s="143" t="s">
        <v>98</v>
      </c>
      <c r="B39" s="143"/>
      <c r="C39" s="143">
        <v>1000000</v>
      </c>
      <c r="D39" s="134"/>
      <c r="E39"/>
      <c r="F39"/>
    </row>
    <row r="40" spans="1:11" ht="15.75" thickBot="1" x14ac:dyDescent="0.3">
      <c r="A40" s="141"/>
      <c r="B40" s="141"/>
      <c r="C40" s="141"/>
      <c r="D40" s="134"/>
      <c r="E40"/>
      <c r="F40"/>
    </row>
    <row r="41" spans="1:11" x14ac:dyDescent="0.25">
      <c r="A41" s="148"/>
      <c r="B41" s="146"/>
      <c r="C41" s="146" t="s">
        <v>101</v>
      </c>
      <c r="D41" s="146" t="s">
        <v>61</v>
      </c>
      <c r="E41" s="146" t="s">
        <v>62</v>
      </c>
      <c r="F41" s="146" t="s">
        <v>63</v>
      </c>
      <c r="G41" s="146" t="s">
        <v>64</v>
      </c>
      <c r="H41" s="146" t="s">
        <v>65</v>
      </c>
      <c r="I41" s="146" t="s">
        <v>66</v>
      </c>
      <c r="J41" s="146" t="s">
        <v>72</v>
      </c>
      <c r="K41" s="149" t="s">
        <v>68</v>
      </c>
    </row>
    <row r="42" spans="1:11" x14ac:dyDescent="0.25">
      <c r="A42" s="150"/>
      <c r="B42" s="151"/>
      <c r="C42" s="152"/>
      <c r="D42" s="151"/>
      <c r="E42" s="153"/>
      <c r="F42" s="153"/>
      <c r="G42" s="153"/>
      <c r="H42" s="151"/>
      <c r="I42" s="153"/>
      <c r="J42" s="153"/>
      <c r="K42" s="154"/>
    </row>
    <row r="43" spans="1:11" x14ac:dyDescent="0.25">
      <c r="A43" s="155" t="s">
        <v>84</v>
      </c>
      <c r="B43" s="156"/>
      <c r="C43" s="156">
        <v>12600394124552.398</v>
      </c>
      <c r="D43" s="156">
        <v>3012341396195.9697</v>
      </c>
      <c r="E43" s="156">
        <v>61719512019.650002</v>
      </c>
      <c r="F43" s="156">
        <v>70244735.373511508</v>
      </c>
      <c r="G43" s="156">
        <v>4638689.2565797009</v>
      </c>
      <c r="H43" s="157">
        <v>4452422.1931258999</v>
      </c>
      <c r="I43" s="157">
        <v>1824929.4142680999</v>
      </c>
      <c r="J43" s="157">
        <v>1170066.8194776999</v>
      </c>
      <c r="K43" s="158">
        <v>710462.54539070011</v>
      </c>
    </row>
    <row r="44" spans="1:11" x14ac:dyDescent="0.25">
      <c r="A44" s="155" t="s">
        <v>85</v>
      </c>
      <c r="B44" s="156"/>
      <c r="C44" s="156">
        <v>487629768395275.38</v>
      </c>
      <c r="D44" s="156">
        <v>33447329415011.273</v>
      </c>
      <c r="E44" s="156">
        <v>663350161037.27002</v>
      </c>
      <c r="F44" s="156">
        <v>1079466095.7019718</v>
      </c>
      <c r="G44" s="156">
        <v>85004820.699728295</v>
      </c>
      <c r="H44" s="157">
        <v>28810881.126076687</v>
      </c>
      <c r="I44" s="157">
        <v>14159890.2386967</v>
      </c>
      <c r="J44" s="157">
        <v>8514230.5476175956</v>
      </c>
      <c r="K44" s="158">
        <v>4921993.4335059999</v>
      </c>
    </row>
    <row r="45" spans="1:11" x14ac:dyDescent="0.25">
      <c r="A45" s="159" t="s">
        <v>86</v>
      </c>
      <c r="B45" s="156"/>
      <c r="C45" s="156">
        <v>61862812908240.344</v>
      </c>
      <c r="D45" s="156">
        <v>4063280279111.2886</v>
      </c>
      <c r="E45" s="156">
        <v>77136069449.200012</v>
      </c>
      <c r="F45" s="156">
        <v>113905504.59342997</v>
      </c>
      <c r="G45" s="156">
        <v>13121432.984299097</v>
      </c>
      <c r="H45" s="157">
        <v>6058146.6927187014</v>
      </c>
      <c r="I45" s="157">
        <v>3542656.3458915986</v>
      </c>
      <c r="J45" s="157">
        <v>2312919.3271935</v>
      </c>
      <c r="K45" s="158">
        <v>1386728.8228905997</v>
      </c>
    </row>
    <row r="46" spans="1:11" x14ac:dyDescent="0.25">
      <c r="A46" s="160" t="s">
        <v>87</v>
      </c>
      <c r="B46" s="161"/>
      <c r="C46" s="162">
        <v>562092975428068.06</v>
      </c>
      <c r="D46" s="162">
        <v>40522951090318.531</v>
      </c>
      <c r="E46" s="162">
        <v>802205742506.12012</v>
      </c>
      <c r="F46" s="162">
        <v>1263616335.6689134</v>
      </c>
      <c r="G46" s="162">
        <v>102764942.94060712</v>
      </c>
      <c r="H46" s="163">
        <v>39321450.011921294</v>
      </c>
      <c r="I46" s="163">
        <v>19527475.998856395</v>
      </c>
      <c r="J46" s="163">
        <v>11997216.694288798</v>
      </c>
      <c r="K46" s="164">
        <v>7019184.8017873</v>
      </c>
    </row>
    <row r="47" spans="1:11" x14ac:dyDescent="0.25">
      <c r="A47" s="155" t="s">
        <v>88</v>
      </c>
      <c r="B47" s="147"/>
      <c r="C47" s="156">
        <v>1287097830.4992194</v>
      </c>
      <c r="D47" s="156">
        <v>4951441163.1763382</v>
      </c>
      <c r="E47" s="156">
        <v>63384913882.61937</v>
      </c>
      <c r="F47" s="156">
        <v>1129618096.902189</v>
      </c>
      <c r="G47" s="156">
        <v>161345761.43415695</v>
      </c>
      <c r="H47" s="165">
        <v>101.36473353865144</v>
      </c>
      <c r="I47" s="166">
        <v>62.766719118713034</v>
      </c>
      <c r="J47" s="166">
        <v>70.920370856084844</v>
      </c>
      <c r="K47" s="167">
        <v>64.541600752740891</v>
      </c>
    </row>
    <row r="48" spans="1:11" x14ac:dyDescent="0.25">
      <c r="A48" s="159" t="s">
        <v>89</v>
      </c>
      <c r="B48" s="156"/>
      <c r="C48" s="156">
        <v>1139727641137.02</v>
      </c>
      <c r="D48" s="156">
        <v>87768098070.880005</v>
      </c>
      <c r="E48" s="156">
        <v>2263694707.6599998</v>
      </c>
      <c r="F48" s="156">
        <v>5737034.242808897</v>
      </c>
      <c r="G48" s="156">
        <v>856343.68146430003</v>
      </c>
      <c r="H48" s="157">
        <v>385123.59340069996</v>
      </c>
      <c r="I48" s="168">
        <v>211670.85442800005</v>
      </c>
      <c r="J48" s="168">
        <v>152383.04776670001</v>
      </c>
      <c r="K48" s="169">
        <v>100556.60066820002</v>
      </c>
    </row>
    <row r="49" spans="1:11" x14ac:dyDescent="0.25">
      <c r="A49" s="155" t="s">
        <v>90</v>
      </c>
      <c r="B49" s="156"/>
      <c r="C49" s="156">
        <v>12660283693.039999</v>
      </c>
      <c r="D49" s="156">
        <v>3750155044.8699999</v>
      </c>
      <c r="E49" s="156">
        <v>480614722.87</v>
      </c>
      <c r="F49" s="156">
        <v>1140541.0703964001</v>
      </c>
      <c r="G49" s="156">
        <v>450895.94361559994</v>
      </c>
      <c r="H49" s="157">
        <v>450244.98538690002</v>
      </c>
      <c r="I49" s="157">
        <v>273257.80509129999</v>
      </c>
      <c r="J49" s="157">
        <v>51764.8182915</v>
      </c>
      <c r="K49" s="158">
        <v>46236.677264200014</v>
      </c>
    </row>
    <row r="50" spans="1:11" x14ac:dyDescent="0.25">
      <c r="A50" s="159" t="s">
        <v>91</v>
      </c>
      <c r="B50" s="156"/>
      <c r="C50" s="156">
        <v>1</v>
      </c>
      <c r="D50" s="156">
        <v>1</v>
      </c>
      <c r="E50" s="156">
        <v>1</v>
      </c>
      <c r="F50" s="156">
        <v>1</v>
      </c>
      <c r="G50" s="156">
        <v>1</v>
      </c>
      <c r="H50" s="157">
        <v>1</v>
      </c>
      <c r="I50" s="157">
        <v>1</v>
      </c>
      <c r="J50" s="157">
        <v>1</v>
      </c>
      <c r="K50" s="158">
        <v>24496.7032927</v>
      </c>
    </row>
    <row r="51" spans="1:11" x14ac:dyDescent="0.25">
      <c r="A51" s="160" t="s">
        <v>92</v>
      </c>
      <c r="B51" s="161"/>
      <c r="C51" s="156">
        <v>1152387924831.0601</v>
      </c>
      <c r="D51" s="156">
        <v>91518253116.75</v>
      </c>
      <c r="E51" s="156">
        <v>2744309431.5299997</v>
      </c>
      <c r="F51" s="156">
        <v>6877576.3132052971</v>
      </c>
      <c r="G51" s="156">
        <v>1307240.6250799</v>
      </c>
      <c r="H51" s="163">
        <v>835369.57878759992</v>
      </c>
      <c r="I51" s="163">
        <v>484929.65951930004</v>
      </c>
      <c r="J51" s="163">
        <v>204148.86605820002</v>
      </c>
      <c r="K51" s="164">
        <v>171289.98122510005</v>
      </c>
    </row>
    <row r="52" spans="1:11" x14ac:dyDescent="0.25">
      <c r="A52" s="176" t="s">
        <v>93</v>
      </c>
      <c r="B52" s="177"/>
      <c r="C52" s="178">
        <v>563245363352899.13</v>
      </c>
      <c r="D52" s="178">
        <v>40614469343435.281</v>
      </c>
      <c r="E52" s="178">
        <v>804950051937.65015</v>
      </c>
      <c r="F52" s="178">
        <v>1270493911.9921186</v>
      </c>
      <c r="G52" s="178">
        <v>104072183.57568701</v>
      </c>
      <c r="H52" s="179">
        <v>40156819.600708887</v>
      </c>
      <c r="I52" s="179">
        <v>20012405.668375697</v>
      </c>
      <c r="J52" s="179">
        <v>12201365.570346996</v>
      </c>
      <c r="K52" s="180">
        <v>7190474.7830123994</v>
      </c>
    </row>
    <row r="53" spans="1:11" x14ac:dyDescent="0.25">
      <c r="A53" s="155" t="s">
        <v>94</v>
      </c>
      <c r="B53" s="170"/>
      <c r="C53" s="156">
        <v>1286809608.6399789</v>
      </c>
      <c r="D53" s="156">
        <v>4945588759.9074535</v>
      </c>
      <c r="E53" s="156">
        <v>63257253769.271065</v>
      </c>
      <c r="F53" s="156">
        <v>1120781450.3865235</v>
      </c>
      <c r="G53" s="156">
        <v>159164407.50643075</v>
      </c>
      <c r="H53" s="165">
        <v>100.6596321608956</v>
      </c>
      <c r="I53" s="166">
        <v>64.017753201427595</v>
      </c>
      <c r="J53" s="166">
        <v>69.687898762581014</v>
      </c>
      <c r="K53" s="167">
        <v>60.998737606519107</v>
      </c>
    </row>
    <row r="54" spans="1:11" x14ac:dyDescent="0.25">
      <c r="A54" s="155" t="s">
        <v>95</v>
      </c>
      <c r="B54" s="156"/>
      <c r="C54" s="156">
        <v>4.25</v>
      </c>
      <c r="D54" s="156">
        <v>7.4399999999999995</v>
      </c>
      <c r="E54" s="156">
        <v>7.4399999999999995</v>
      </c>
      <c r="F54" s="156">
        <v>6.9664720999999998</v>
      </c>
      <c r="G54" s="156">
        <v>6.9664720999999998</v>
      </c>
      <c r="H54" s="157">
        <v>6.9664720999999998</v>
      </c>
      <c r="I54" s="171">
        <v>6.9664720999999998</v>
      </c>
      <c r="J54" s="171">
        <v>7.1817152000000002</v>
      </c>
      <c r="K54" s="172">
        <v>7.1817152000000002</v>
      </c>
    </row>
    <row r="55" spans="1:11" x14ac:dyDescent="0.25">
      <c r="A55" s="160" t="s">
        <v>96</v>
      </c>
      <c r="B55" s="161"/>
      <c r="C55" s="156">
        <v>563245363352903.38</v>
      </c>
      <c r="D55" s="156">
        <v>40614469343442.719</v>
      </c>
      <c r="E55" s="156">
        <v>804950051945.09009</v>
      </c>
      <c r="F55" s="156">
        <v>1270493918.9585907</v>
      </c>
      <c r="G55" s="156">
        <v>104072190.5421591</v>
      </c>
      <c r="H55" s="219">
        <v>40156826.567180991</v>
      </c>
      <c r="I55" s="219">
        <v>20012412.634847797</v>
      </c>
      <c r="J55" s="219">
        <v>12201372.752062196</v>
      </c>
      <c r="K55" s="220">
        <v>7190481.9647275992</v>
      </c>
    </row>
    <row r="56" spans="1:11" x14ac:dyDescent="0.25">
      <c r="A56" s="155" t="s">
        <v>97</v>
      </c>
      <c r="B56" s="147"/>
      <c r="C56" s="156">
        <v>1286809608.6398447</v>
      </c>
      <c r="D56" s="156">
        <v>4945588759.861742</v>
      </c>
      <c r="E56" s="156">
        <v>63257253422.45118</v>
      </c>
      <c r="F56" s="156">
        <v>1120781375.362709</v>
      </c>
      <c r="G56" s="156">
        <v>159164379.89432839</v>
      </c>
      <c r="H56" s="165">
        <v>100.65959712051682</v>
      </c>
      <c r="I56" s="166">
        <v>64.01771375655602</v>
      </c>
      <c r="J56" s="166">
        <v>69.687829159646981</v>
      </c>
      <c r="K56" s="167">
        <v>60.998598754559218</v>
      </c>
    </row>
    <row r="57" spans="1:11" ht="15.75" thickBot="1" x14ac:dyDescent="0.3">
      <c r="A57" s="173"/>
      <c r="B57" s="145"/>
      <c r="C57" s="174"/>
      <c r="D57" s="174"/>
      <c r="E57" s="174"/>
      <c r="F57" s="174"/>
      <c r="G57" s="174"/>
      <c r="H57" s="145"/>
      <c r="I57" s="144"/>
      <c r="J57" s="144"/>
      <c r="K57" s="175"/>
    </row>
    <row r="58" spans="1:11" x14ac:dyDescent="0.25">
      <c r="A58" s="153"/>
      <c r="B58" s="151"/>
      <c r="C58" s="156"/>
      <c r="D58" s="156"/>
      <c r="E58" s="156"/>
      <c r="F58" s="156"/>
      <c r="G58" s="156"/>
      <c r="H58" s="151"/>
      <c r="I58" s="153"/>
      <c r="J58" s="153"/>
      <c r="K58" s="153"/>
    </row>
    <row r="59" spans="1:11" x14ac:dyDescent="0.25">
      <c r="A59" s="153"/>
      <c r="B59" s="151"/>
      <c r="C59" s="221"/>
      <c r="D59" s="221"/>
      <c r="E59" s="221"/>
      <c r="F59" s="221"/>
      <c r="G59" s="221"/>
      <c r="H59" s="221"/>
      <c r="I59" s="221"/>
      <c r="J59" s="221"/>
      <c r="K59" s="221"/>
    </row>
    <row r="60" spans="1:11" x14ac:dyDescent="0.25">
      <c r="A60" s="153"/>
      <c r="B60" s="151"/>
      <c r="C60" s="221"/>
      <c r="D60" s="221"/>
      <c r="E60" s="221"/>
      <c r="F60" s="221"/>
      <c r="G60" s="221"/>
      <c r="H60" s="221"/>
      <c r="I60" s="221"/>
      <c r="J60" s="221"/>
      <c r="K60" s="221"/>
    </row>
    <row r="61" spans="1:11" ht="15.75" thickBot="1" x14ac:dyDescent="0.3">
      <c r="A61" s="3"/>
      <c r="B61" s="248" t="s">
        <v>123</v>
      </c>
      <c r="C61" s="248"/>
      <c r="D61" s="248"/>
      <c r="E61" s="248"/>
      <c r="F61" s="248"/>
      <c r="G61" s="248"/>
      <c r="H61" s="248"/>
      <c r="I61" s="248"/>
      <c r="J61" s="248"/>
      <c r="K61" s="248"/>
    </row>
    <row r="62" spans="1:11" x14ac:dyDescent="0.25">
      <c r="A62" s="3"/>
      <c r="B62" s="6" t="s">
        <v>100</v>
      </c>
      <c r="C62" s="185">
        <f>421704062.527016*1000000</f>
        <v>421704062527016</v>
      </c>
      <c r="D62" s="186">
        <f>31658408.1923823*1000000</f>
        <v>31658408192382.297</v>
      </c>
      <c r="E62" s="186">
        <f>435323.847619253*1000000</f>
        <v>435323847619.25299</v>
      </c>
      <c r="F62" s="185">
        <f>988250978.921632</f>
        <v>988250978.92163205</v>
      </c>
      <c r="G62" s="185">
        <f>53794621.7784148</f>
        <v>53794621.778414801</v>
      </c>
      <c r="H62" s="185">
        <f>16009454.2408721</f>
        <v>16009454.2408721</v>
      </c>
      <c r="I62" s="185">
        <f>7579941.1852733</f>
        <v>7579941.1852732999</v>
      </c>
      <c r="J62" s="185">
        <f>4448942.9254386</f>
        <v>4448942.9254385997</v>
      </c>
      <c r="K62" s="187">
        <v>2683557.3550274004</v>
      </c>
    </row>
    <row r="63" spans="1:11" x14ac:dyDescent="0.25">
      <c r="A63" s="3"/>
      <c r="B63" s="217" t="s">
        <v>99</v>
      </c>
      <c r="C63" s="184">
        <f t="shared" ref="C63:K63" si="5">C52/C62</f>
        <v>1.3356413025231775</v>
      </c>
      <c r="D63" s="184">
        <f t="shared" si="5"/>
        <v>1.2828967614741922</v>
      </c>
      <c r="E63" s="184">
        <f t="shared" si="5"/>
        <v>1.8490832890039213</v>
      </c>
      <c r="F63" s="184">
        <f t="shared" si="5"/>
        <v>1.285598435104478</v>
      </c>
      <c r="G63" s="184">
        <f t="shared" si="5"/>
        <v>1.9346206021183734</v>
      </c>
      <c r="H63" s="184">
        <f t="shared" si="5"/>
        <v>2.5083190842438974</v>
      </c>
      <c r="I63" s="184">
        <f t="shared" si="5"/>
        <v>2.6401795448303518</v>
      </c>
      <c r="J63" s="184">
        <f t="shared" si="5"/>
        <v>2.7425313776404816</v>
      </c>
      <c r="K63" s="188">
        <f t="shared" si="5"/>
        <v>2.6794563453401508</v>
      </c>
    </row>
    <row r="64" spans="1:11" ht="15.75" thickBot="1" x14ac:dyDescent="0.3">
      <c r="A64" s="3"/>
      <c r="B64" s="218" t="s">
        <v>102</v>
      </c>
      <c r="C64" s="190">
        <f>C63/D63-1</f>
        <v>4.1113628651128442E-2</v>
      </c>
      <c r="D64" s="190">
        <f t="shared" ref="D64:J64" si="6">D63/E63-1</f>
        <v>-0.30619849895173024</v>
      </c>
      <c r="E64" s="190">
        <f t="shared" si="6"/>
        <v>0.43830549144504061</v>
      </c>
      <c r="F64" s="190">
        <f t="shared" si="6"/>
        <v>-0.33547775016105397</v>
      </c>
      <c r="G64" s="190">
        <f t="shared" si="6"/>
        <v>-0.22871830212082389</v>
      </c>
      <c r="H64" s="190">
        <f t="shared" si="6"/>
        <v>-4.9943747516961845E-2</v>
      </c>
      <c r="I64" s="190">
        <f t="shared" si="6"/>
        <v>-3.7320204846001626E-2</v>
      </c>
      <c r="J64" s="190">
        <f t="shared" si="6"/>
        <v>2.354023509658032E-2</v>
      </c>
      <c r="K64" s="191"/>
    </row>
    <row r="65" spans="1:11" ht="15.75" thickBot="1" x14ac:dyDescent="0.3">
      <c r="A65" s="3"/>
      <c r="B65" s="189" t="s">
        <v>102</v>
      </c>
      <c r="C65" s="190">
        <f>C63/$K$63-1</f>
        <v>-0.50152526095601646</v>
      </c>
      <c r="D65" s="190">
        <f t="shared" ref="D65:J65" si="7">D63/$K$63-1</f>
        <v>-0.52121005303733303</v>
      </c>
      <c r="E65" s="190">
        <f t="shared" si="7"/>
        <v>-0.30990355852609186</v>
      </c>
      <c r="F65" s="190">
        <f t="shared" si="7"/>
        <v>-0.52020176132361118</v>
      </c>
      <c r="G65" s="190">
        <f t="shared" si="7"/>
        <v>-0.2779801747907269</v>
      </c>
      <c r="H65" s="190">
        <f t="shared" si="7"/>
        <v>-6.3870143431849047E-2</v>
      </c>
      <c r="I65" s="190">
        <f t="shared" si="7"/>
        <v>-1.4658496145348754E-2</v>
      </c>
      <c r="J65" s="190">
        <f t="shared" si="7"/>
        <v>2.354023509658032E-2</v>
      </c>
      <c r="K65" s="191"/>
    </row>
    <row r="66" spans="1:11" x14ac:dyDescent="0.25">
      <c r="A66" s="3"/>
      <c r="B66" s="192"/>
      <c r="C66" s="181"/>
      <c r="D66" s="181"/>
      <c r="E66" s="181"/>
      <c r="F66" s="181"/>
      <c r="G66" s="181"/>
      <c r="H66" s="181"/>
      <c r="I66" s="181"/>
      <c r="J66" s="181"/>
      <c r="K66" s="181"/>
    </row>
    <row r="67" spans="1:11" x14ac:dyDescent="0.25">
      <c r="A67" s="3"/>
      <c r="B67" s="192"/>
      <c r="C67" s="181"/>
      <c r="D67" s="181"/>
      <c r="E67" s="181"/>
      <c r="F67" s="181"/>
      <c r="G67" s="181"/>
      <c r="H67" s="181"/>
      <c r="I67" s="181"/>
      <c r="J67" s="181"/>
      <c r="K67" s="181"/>
    </row>
    <row r="68" spans="1:11" ht="15.75" thickBot="1" x14ac:dyDescent="0.3">
      <c r="A68" s="3"/>
      <c r="B68" s="248" t="s">
        <v>122</v>
      </c>
      <c r="C68" s="248"/>
      <c r="D68" s="248"/>
      <c r="E68" s="248"/>
      <c r="F68" s="248"/>
      <c r="G68" s="248"/>
      <c r="H68" s="248"/>
      <c r="I68" s="248"/>
      <c r="J68" s="248"/>
      <c r="K68" s="248"/>
    </row>
    <row r="69" spans="1:11" x14ac:dyDescent="0.25">
      <c r="B69" s="198"/>
      <c r="C69" s="146" t="s">
        <v>101</v>
      </c>
      <c r="D69" s="146" t="s">
        <v>61</v>
      </c>
      <c r="E69" s="146" t="s">
        <v>62</v>
      </c>
      <c r="F69" s="146" t="s">
        <v>63</v>
      </c>
      <c r="G69" s="146" t="s">
        <v>64</v>
      </c>
      <c r="H69" s="146" t="s">
        <v>65</v>
      </c>
      <c r="I69" s="146" t="s">
        <v>66</v>
      </c>
      <c r="J69" s="146" t="s">
        <v>72</v>
      </c>
      <c r="K69" s="240" t="s">
        <v>68</v>
      </c>
    </row>
    <row r="70" spans="1:11" x14ac:dyDescent="0.25">
      <c r="B70" s="226" t="s">
        <v>103</v>
      </c>
      <c r="C70" s="194">
        <v>1104430.5900000001</v>
      </c>
      <c r="D70" s="195">
        <v>46504.28</v>
      </c>
      <c r="E70" s="195">
        <v>38195.07</v>
      </c>
      <c r="F70" s="195">
        <v>3336.64</v>
      </c>
      <c r="G70" s="196">
        <v>672.08</v>
      </c>
      <c r="H70" s="196">
        <v>51.97</v>
      </c>
      <c r="I70" s="196">
        <v>49.86</v>
      </c>
      <c r="J70" s="197">
        <v>6.28</v>
      </c>
      <c r="K70" s="205">
        <v>4.29</v>
      </c>
    </row>
    <row r="71" spans="1:11" x14ac:dyDescent="0.25">
      <c r="B71" s="238" t="s">
        <v>105</v>
      </c>
      <c r="C71" s="181">
        <f>C70/D70-1</f>
        <v>22.74900955352927</v>
      </c>
      <c r="D71" s="181">
        <f t="shared" ref="D71:J71" si="8">D70/E70-1</f>
        <v>0.21754666243575405</v>
      </c>
      <c r="E71" s="181">
        <f t="shared" si="8"/>
        <v>10.447165411911385</v>
      </c>
      <c r="F71" s="181">
        <f t="shared" si="8"/>
        <v>3.9646470658254964</v>
      </c>
      <c r="G71" s="181">
        <f t="shared" si="8"/>
        <v>11.932076197806428</v>
      </c>
      <c r="H71" s="181">
        <f t="shared" si="8"/>
        <v>4.2318491776975442E-2</v>
      </c>
      <c r="I71" s="181">
        <f t="shared" si="8"/>
        <v>6.9394904458598718</v>
      </c>
      <c r="J71" s="181">
        <f t="shared" si="8"/>
        <v>0.46386946386946382</v>
      </c>
      <c r="K71" s="208"/>
    </row>
    <row r="72" spans="1:11" ht="15.75" thickBot="1" x14ac:dyDescent="0.3">
      <c r="B72" s="218" t="s">
        <v>104</v>
      </c>
      <c r="C72" s="239">
        <f t="shared" ref="C72:I72" si="9">C70/$K$70-1</f>
        <v>257442.02797202798</v>
      </c>
      <c r="D72" s="239">
        <f t="shared" si="9"/>
        <v>10839.158508158507</v>
      </c>
      <c r="E72" s="239">
        <f t="shared" si="9"/>
        <v>8902.279720279721</v>
      </c>
      <c r="F72" s="239">
        <f t="shared" si="9"/>
        <v>776.77156177156178</v>
      </c>
      <c r="G72" s="239">
        <f t="shared" si="9"/>
        <v>155.66200466200468</v>
      </c>
      <c r="H72" s="239">
        <f t="shared" si="9"/>
        <v>11.114219114219114</v>
      </c>
      <c r="I72" s="239">
        <f t="shared" si="9"/>
        <v>10.622377622377622</v>
      </c>
      <c r="J72" s="239">
        <f>J70/$K$70-1</f>
        <v>0.46386946386946382</v>
      </c>
      <c r="K72" s="241"/>
    </row>
    <row r="73" spans="1:11" x14ac:dyDescent="0.25">
      <c r="B73" s="92"/>
      <c r="C73" s="193"/>
      <c r="D73" s="193"/>
      <c r="E73" s="193"/>
      <c r="F73" s="193"/>
      <c r="G73" s="193"/>
      <c r="H73" s="193"/>
      <c r="I73" s="193"/>
      <c r="J73" s="193"/>
    </row>
    <row r="74" spans="1:11" x14ac:dyDescent="0.25">
      <c r="B74" s="92"/>
      <c r="C74" s="193"/>
      <c r="D74" s="193"/>
      <c r="E74" s="193"/>
      <c r="F74" s="193"/>
      <c r="G74" s="193"/>
      <c r="H74" s="193"/>
      <c r="I74" s="193"/>
      <c r="J74" s="193"/>
    </row>
    <row r="75" spans="1:11" ht="15.75" thickBot="1" x14ac:dyDescent="0.3">
      <c r="C75" s="247" t="s">
        <v>121</v>
      </c>
      <c r="D75" s="247"/>
      <c r="E75" s="247"/>
      <c r="F75" s="247"/>
    </row>
    <row r="76" spans="1:11" ht="30.75" thickBot="1" x14ac:dyDescent="0.3">
      <c r="C76" s="200" t="s">
        <v>81</v>
      </c>
      <c r="D76" s="200" t="s">
        <v>103</v>
      </c>
      <c r="E76" s="200" t="s">
        <v>105</v>
      </c>
      <c r="F76" s="199" t="s">
        <v>106</v>
      </c>
      <c r="G76" s="183"/>
    </row>
    <row r="77" spans="1:11" x14ac:dyDescent="0.25">
      <c r="C77" s="201" t="s">
        <v>101</v>
      </c>
      <c r="D77" s="203">
        <v>1104430.5900000001</v>
      </c>
      <c r="E77" s="213">
        <f t="shared" ref="E77:E84" si="10">D77/D78-1</f>
        <v>22.74900955352927</v>
      </c>
      <c r="F77" s="212">
        <f>257442.027972028*100</f>
        <v>25744202.797202799</v>
      </c>
      <c r="G77" s="209"/>
    </row>
    <row r="78" spans="1:11" x14ac:dyDescent="0.25">
      <c r="C78" s="201" t="s">
        <v>61</v>
      </c>
      <c r="D78" s="204">
        <v>46504.28</v>
      </c>
      <c r="E78" s="213">
        <f t="shared" si="10"/>
        <v>0.21754666243575405</v>
      </c>
      <c r="F78" s="210">
        <f>10839.1585081585*100</f>
        <v>1083915.8508158501</v>
      </c>
      <c r="G78" s="183"/>
    </row>
    <row r="79" spans="1:11" x14ac:dyDescent="0.25">
      <c r="C79" s="201" t="s">
        <v>62</v>
      </c>
      <c r="D79" s="204">
        <v>38195.07</v>
      </c>
      <c r="E79" s="213">
        <f t="shared" si="10"/>
        <v>10.447165411911385</v>
      </c>
      <c r="F79" s="210">
        <f>8902.27972027972*100</f>
        <v>890227.97202797187</v>
      </c>
      <c r="G79" s="183"/>
    </row>
    <row r="80" spans="1:11" x14ac:dyDescent="0.25">
      <c r="C80" s="201" t="s">
        <v>63</v>
      </c>
      <c r="D80" s="204">
        <v>3336.64</v>
      </c>
      <c r="E80" s="213">
        <f t="shared" si="10"/>
        <v>3.9646470658254964</v>
      </c>
      <c r="F80" s="210">
        <f>776.771561771562*100</f>
        <v>77677.156177156197</v>
      </c>
      <c r="G80" s="183"/>
    </row>
    <row r="81" spans="3:7" x14ac:dyDescent="0.25">
      <c r="C81" s="201" t="s">
        <v>64</v>
      </c>
      <c r="D81" s="205">
        <v>672.08</v>
      </c>
      <c r="E81" s="213">
        <f t="shared" si="10"/>
        <v>11.932076197806428</v>
      </c>
      <c r="F81" s="210">
        <f>155.662004662005*100</f>
        <v>15566.200466200498</v>
      </c>
      <c r="G81" s="183"/>
    </row>
    <row r="82" spans="3:7" x14ac:dyDescent="0.25">
      <c r="C82" s="201" t="s">
        <v>65</v>
      </c>
      <c r="D82" s="205">
        <v>51.97</v>
      </c>
      <c r="E82" s="213">
        <f t="shared" si="10"/>
        <v>4.2318491776975442E-2</v>
      </c>
      <c r="F82" s="210">
        <f>11.1142191142191*100</f>
        <v>1111.42191142191</v>
      </c>
      <c r="G82" s="183"/>
    </row>
    <row r="83" spans="3:7" x14ac:dyDescent="0.25">
      <c r="C83" s="201" t="s">
        <v>66</v>
      </c>
      <c r="D83" s="205">
        <v>49.86</v>
      </c>
      <c r="E83" s="213">
        <f t="shared" si="10"/>
        <v>6.9394904458598718</v>
      </c>
      <c r="F83" s="210">
        <f>10.6223776223776*100</f>
        <v>1062.2377622377601</v>
      </c>
      <c r="G83" s="183"/>
    </row>
    <row r="84" spans="3:7" x14ac:dyDescent="0.25">
      <c r="C84" s="201" t="s">
        <v>72</v>
      </c>
      <c r="D84" s="206">
        <v>6.28</v>
      </c>
      <c r="E84" s="213">
        <f t="shared" si="10"/>
        <v>0.46386946386946382</v>
      </c>
      <c r="F84" s="210">
        <f>0.463869463869464*100</f>
        <v>46.386946386946398</v>
      </c>
      <c r="G84" s="183"/>
    </row>
    <row r="85" spans="3:7" ht="15.75" thickBot="1" x14ac:dyDescent="0.3">
      <c r="C85" s="202" t="s">
        <v>68</v>
      </c>
      <c r="D85" s="207">
        <v>4.29</v>
      </c>
      <c r="E85" s="214"/>
      <c r="F85" s="211"/>
      <c r="G85" s="183"/>
    </row>
    <row r="86" spans="3:7" x14ac:dyDescent="0.25">
      <c r="C86" s="181"/>
      <c r="D86" s="182"/>
      <c r="E86" s="183"/>
      <c r="F86" s="183"/>
      <c r="G86" s="183"/>
    </row>
    <row r="87" spans="3:7" x14ac:dyDescent="0.25">
      <c r="C87" s="49"/>
      <c r="D87" s="134"/>
      <c r="E87"/>
      <c r="F87"/>
    </row>
    <row r="88" spans="3:7" x14ac:dyDescent="0.25">
      <c r="C88" s="49"/>
      <c r="D88" s="134"/>
      <c r="E88"/>
      <c r="F88"/>
    </row>
    <row r="89" spans="3:7" x14ac:dyDescent="0.25">
      <c r="C89" s="49"/>
      <c r="D89" s="134"/>
      <c r="E89"/>
      <c r="F89"/>
    </row>
    <row r="90" spans="3:7" x14ac:dyDescent="0.25">
      <c r="C90" s="49"/>
      <c r="D90" s="134"/>
      <c r="E90"/>
      <c r="F90"/>
    </row>
    <row r="91" spans="3:7" x14ac:dyDescent="0.25">
      <c r="C91" s="49"/>
      <c r="D91" s="134"/>
      <c r="E91"/>
      <c r="F91"/>
    </row>
    <row r="92" spans="3:7" x14ac:dyDescent="0.25">
      <c r="C92" s="49"/>
      <c r="D92" s="134"/>
      <c r="E92"/>
      <c r="F92"/>
    </row>
    <row r="93" spans="3:7" x14ac:dyDescent="0.25">
      <c r="C93" s="49"/>
      <c r="D93" s="134"/>
      <c r="E93"/>
      <c r="F93"/>
    </row>
    <row r="94" spans="3:7" x14ac:dyDescent="0.25">
      <c r="C94" s="49"/>
      <c r="D94" s="134"/>
      <c r="E94"/>
      <c r="F94"/>
    </row>
    <row r="95" spans="3:7" x14ac:dyDescent="0.25">
      <c r="C95" s="49"/>
      <c r="D95" s="134"/>
      <c r="E95"/>
      <c r="F95"/>
    </row>
    <row r="96" spans="3:7" x14ac:dyDescent="0.25">
      <c r="C96" s="49"/>
      <c r="D96" s="134"/>
      <c r="E96"/>
      <c r="F96"/>
    </row>
    <row r="97" spans="3:6" x14ac:dyDescent="0.25">
      <c r="C97" s="49"/>
      <c r="D97" s="134"/>
      <c r="E97"/>
      <c r="F97"/>
    </row>
    <row r="98" spans="3:6" x14ac:dyDescent="0.25">
      <c r="C98" s="49"/>
      <c r="D98" s="134"/>
      <c r="E98"/>
      <c r="F98"/>
    </row>
    <row r="99" spans="3:6" x14ac:dyDescent="0.25">
      <c r="C99" s="49"/>
      <c r="D99" s="134"/>
      <c r="E99"/>
      <c r="F99"/>
    </row>
    <row r="100" spans="3:6" x14ac:dyDescent="0.25">
      <c r="C100" s="49"/>
      <c r="D100" s="134"/>
      <c r="E100"/>
      <c r="F100"/>
    </row>
    <row r="101" spans="3:6" x14ac:dyDescent="0.25">
      <c r="C101" s="49"/>
      <c r="D101" s="134"/>
      <c r="E101"/>
      <c r="F101"/>
    </row>
    <row r="102" spans="3:6" x14ac:dyDescent="0.25">
      <c r="C102" s="49"/>
      <c r="D102" s="134"/>
      <c r="E102"/>
      <c r="F102"/>
    </row>
    <row r="103" spans="3:6" x14ac:dyDescent="0.25">
      <c r="C103" s="49"/>
      <c r="D103" s="134"/>
      <c r="E103"/>
      <c r="F103"/>
    </row>
    <row r="104" spans="3:6" x14ac:dyDescent="0.25">
      <c r="C104" s="49"/>
      <c r="D104" s="134"/>
      <c r="E104"/>
      <c r="F104"/>
    </row>
    <row r="105" spans="3:6" x14ac:dyDescent="0.25">
      <c r="C105" s="49"/>
      <c r="D105" s="134"/>
      <c r="E105"/>
      <c r="F105"/>
    </row>
    <row r="106" spans="3:6" x14ac:dyDescent="0.25">
      <c r="C106" s="49"/>
      <c r="D106" s="134"/>
      <c r="E106"/>
      <c r="F106"/>
    </row>
    <row r="107" spans="3:6" x14ac:dyDescent="0.25">
      <c r="C107" s="49"/>
      <c r="D107" s="134"/>
      <c r="E107"/>
      <c r="F107"/>
    </row>
    <row r="108" spans="3:6" x14ac:dyDescent="0.25">
      <c r="C108" s="49"/>
      <c r="D108" s="134"/>
      <c r="E108"/>
      <c r="F108"/>
    </row>
    <row r="109" spans="3:6" x14ac:dyDescent="0.25">
      <c r="C109" s="49"/>
      <c r="D109" s="134"/>
      <c r="E109"/>
      <c r="F109"/>
    </row>
    <row r="110" spans="3:6" x14ac:dyDescent="0.25">
      <c r="C110" s="49"/>
      <c r="D110" s="134"/>
      <c r="E110"/>
      <c r="F110"/>
    </row>
    <row r="111" spans="3:6" x14ac:dyDescent="0.25">
      <c r="C111" s="49"/>
      <c r="D111" s="134"/>
      <c r="E111"/>
      <c r="F111"/>
    </row>
    <row r="112" spans="3:6" x14ac:dyDescent="0.25">
      <c r="C112" s="49"/>
      <c r="D112" s="134"/>
      <c r="E112"/>
      <c r="F112"/>
    </row>
    <row r="113" spans="3:6" x14ac:dyDescent="0.25">
      <c r="C113" s="49"/>
      <c r="D113" s="134"/>
      <c r="E113"/>
      <c r="F113"/>
    </row>
    <row r="114" spans="3:6" x14ac:dyDescent="0.25">
      <c r="C114" s="49"/>
      <c r="D114" s="134"/>
      <c r="E114"/>
      <c r="F114"/>
    </row>
    <row r="115" spans="3:6" x14ac:dyDescent="0.25">
      <c r="C115" s="49"/>
      <c r="D115" s="134"/>
      <c r="E115"/>
      <c r="F115"/>
    </row>
    <row r="116" spans="3:6" x14ac:dyDescent="0.25">
      <c r="C116" s="49"/>
      <c r="D116" s="134"/>
      <c r="E116"/>
      <c r="F116"/>
    </row>
    <row r="117" spans="3:6" x14ac:dyDescent="0.25">
      <c r="C117" s="49"/>
      <c r="D117" s="134"/>
      <c r="E117"/>
      <c r="F117"/>
    </row>
    <row r="118" spans="3:6" x14ac:dyDescent="0.25">
      <c r="C118" s="49"/>
      <c r="D118" s="134"/>
      <c r="E118"/>
      <c r="F118"/>
    </row>
    <row r="119" spans="3:6" x14ac:dyDescent="0.25">
      <c r="C119" s="49"/>
      <c r="D119" s="134"/>
      <c r="E119"/>
      <c r="F119"/>
    </row>
    <row r="120" spans="3:6" x14ac:dyDescent="0.25">
      <c r="C120" s="49"/>
      <c r="D120" s="134"/>
      <c r="E120"/>
      <c r="F120"/>
    </row>
    <row r="121" spans="3:6" x14ac:dyDescent="0.25">
      <c r="C121" s="49"/>
      <c r="D121" s="134"/>
      <c r="E121"/>
      <c r="F121"/>
    </row>
    <row r="122" spans="3:6" x14ac:dyDescent="0.25">
      <c r="C122" s="49"/>
      <c r="D122" s="134"/>
      <c r="E122"/>
      <c r="F122"/>
    </row>
    <row r="123" spans="3:6" x14ac:dyDescent="0.25">
      <c r="C123" s="49"/>
      <c r="D123" s="134"/>
      <c r="E123"/>
      <c r="F123"/>
    </row>
    <row r="124" spans="3:6" x14ac:dyDescent="0.25">
      <c r="C124" s="49"/>
      <c r="D124" s="134"/>
      <c r="E124"/>
      <c r="F124"/>
    </row>
    <row r="125" spans="3:6" x14ac:dyDescent="0.25">
      <c r="C125" s="49"/>
      <c r="D125" s="134"/>
      <c r="E125"/>
      <c r="F125"/>
    </row>
    <row r="126" spans="3:6" x14ac:dyDescent="0.25">
      <c r="C126" s="49"/>
      <c r="D126" s="134"/>
      <c r="E126"/>
      <c r="F126"/>
    </row>
    <row r="127" spans="3:6" x14ac:dyDescent="0.25">
      <c r="C127" s="49"/>
      <c r="D127" s="134"/>
      <c r="E127"/>
      <c r="F127"/>
    </row>
    <row r="128" spans="3:6" x14ac:dyDescent="0.25">
      <c r="C128" s="49"/>
      <c r="D128" s="134"/>
      <c r="E128"/>
      <c r="F128"/>
    </row>
    <row r="129" spans="3:6" x14ac:dyDescent="0.25">
      <c r="C129" s="49"/>
      <c r="D129" s="134"/>
      <c r="E129"/>
      <c r="F129"/>
    </row>
    <row r="130" spans="3:6" x14ac:dyDescent="0.25">
      <c r="C130" s="49"/>
      <c r="D130" s="134"/>
      <c r="E130"/>
      <c r="F130"/>
    </row>
    <row r="131" spans="3:6" x14ac:dyDescent="0.25">
      <c r="C131" s="49"/>
      <c r="D131" s="134"/>
      <c r="E131"/>
      <c r="F131"/>
    </row>
    <row r="132" spans="3:6" x14ac:dyDescent="0.25">
      <c r="C132" s="49"/>
      <c r="D132" s="134"/>
      <c r="E132"/>
      <c r="F132"/>
    </row>
    <row r="133" spans="3:6" x14ac:dyDescent="0.25">
      <c r="C133" s="49"/>
      <c r="D133" s="134"/>
      <c r="E133"/>
      <c r="F133"/>
    </row>
    <row r="134" spans="3:6" x14ac:dyDescent="0.25">
      <c r="C134" s="49"/>
      <c r="D134" s="134"/>
      <c r="E134"/>
      <c r="F134"/>
    </row>
    <row r="135" spans="3:6" x14ac:dyDescent="0.25">
      <c r="C135" s="49"/>
      <c r="D135" s="134"/>
      <c r="E135"/>
      <c r="F135"/>
    </row>
    <row r="136" spans="3:6" x14ac:dyDescent="0.25">
      <c r="C136" s="49"/>
      <c r="D136" s="134"/>
      <c r="E136"/>
      <c r="F136"/>
    </row>
    <row r="137" spans="3:6" x14ac:dyDescent="0.25">
      <c r="C137" s="49"/>
      <c r="D137" s="134"/>
      <c r="E137"/>
      <c r="F137"/>
    </row>
    <row r="138" spans="3:6" x14ac:dyDescent="0.25">
      <c r="C138" s="49"/>
      <c r="D138" s="134"/>
      <c r="E138"/>
      <c r="F138"/>
    </row>
    <row r="139" spans="3:6" x14ac:dyDescent="0.25">
      <c r="C139" s="49"/>
      <c r="D139" s="134"/>
      <c r="E139"/>
      <c r="F139"/>
    </row>
    <row r="140" spans="3:6" x14ac:dyDescent="0.25">
      <c r="C140" s="49"/>
      <c r="D140" s="134"/>
      <c r="E140"/>
      <c r="F140"/>
    </row>
    <row r="141" spans="3:6" x14ac:dyDescent="0.25">
      <c r="C141" s="49"/>
      <c r="D141" s="134"/>
      <c r="E141"/>
      <c r="F141"/>
    </row>
    <row r="142" spans="3:6" x14ac:dyDescent="0.25">
      <c r="C142" s="49"/>
      <c r="D142" s="134"/>
      <c r="E142"/>
      <c r="F142"/>
    </row>
    <row r="143" spans="3:6" x14ac:dyDescent="0.25">
      <c r="C143" s="49"/>
      <c r="D143" s="134"/>
      <c r="E143"/>
      <c r="F143"/>
    </row>
    <row r="144" spans="3:6" x14ac:dyDescent="0.25">
      <c r="C144" s="49"/>
      <c r="D144" s="134"/>
      <c r="E144"/>
      <c r="F144"/>
    </row>
    <row r="145" spans="3:6" x14ac:dyDescent="0.25">
      <c r="C145" s="49"/>
      <c r="D145" s="134"/>
      <c r="E145"/>
      <c r="F145"/>
    </row>
    <row r="146" spans="3:6" x14ac:dyDescent="0.25">
      <c r="C146" s="49"/>
      <c r="D146" s="134"/>
      <c r="E146"/>
      <c r="F146"/>
    </row>
    <row r="147" spans="3:6" x14ac:dyDescent="0.25">
      <c r="C147" s="49"/>
      <c r="D147" s="134"/>
      <c r="E147"/>
      <c r="F147"/>
    </row>
    <row r="148" spans="3:6" x14ac:dyDescent="0.25">
      <c r="C148" s="49"/>
      <c r="D148" s="134"/>
      <c r="E148"/>
      <c r="F148"/>
    </row>
    <row r="149" spans="3:6" x14ac:dyDescent="0.25">
      <c r="C149" s="49"/>
      <c r="D149" s="134"/>
      <c r="E149"/>
      <c r="F149"/>
    </row>
    <row r="150" spans="3:6" x14ac:dyDescent="0.25">
      <c r="C150" s="49"/>
      <c r="D150" s="134"/>
      <c r="E150"/>
      <c r="F150"/>
    </row>
    <row r="151" spans="3:6" x14ac:dyDescent="0.25">
      <c r="C151" s="49"/>
      <c r="D151" s="134"/>
      <c r="E151"/>
      <c r="F151"/>
    </row>
    <row r="152" spans="3:6" x14ac:dyDescent="0.25">
      <c r="C152" s="49"/>
      <c r="D152" s="134"/>
      <c r="E152"/>
      <c r="F152"/>
    </row>
    <row r="153" spans="3:6" x14ac:dyDescent="0.25">
      <c r="C153" s="49"/>
      <c r="D153" s="134"/>
      <c r="E153"/>
      <c r="F153"/>
    </row>
    <row r="154" spans="3:6" x14ac:dyDescent="0.25">
      <c r="C154" s="49"/>
      <c r="D154" s="134"/>
      <c r="E154"/>
      <c r="F154"/>
    </row>
    <row r="155" spans="3:6" x14ac:dyDescent="0.25">
      <c r="C155" s="49"/>
      <c r="D155" s="134"/>
      <c r="E155"/>
      <c r="F155"/>
    </row>
    <row r="156" spans="3:6" x14ac:dyDescent="0.25">
      <c r="C156" s="49"/>
      <c r="D156" s="134"/>
      <c r="E156"/>
      <c r="F156"/>
    </row>
    <row r="157" spans="3:6" x14ac:dyDescent="0.25">
      <c r="C157" s="49"/>
      <c r="D157" s="134"/>
      <c r="E157"/>
      <c r="F157"/>
    </row>
    <row r="158" spans="3:6" x14ac:dyDescent="0.25">
      <c r="C158" s="49"/>
      <c r="D158" s="134"/>
      <c r="E158"/>
      <c r="F158"/>
    </row>
    <row r="159" spans="3:6" x14ac:dyDescent="0.25">
      <c r="C159" s="49"/>
      <c r="D159" s="134"/>
      <c r="E159"/>
      <c r="F159"/>
    </row>
    <row r="160" spans="3:6" x14ac:dyDescent="0.25">
      <c r="C160" s="49"/>
      <c r="D160" s="134"/>
      <c r="E160"/>
      <c r="F160"/>
    </row>
    <row r="161" spans="3:6" x14ac:dyDescent="0.25">
      <c r="C161" s="49"/>
      <c r="D161" s="134"/>
      <c r="E161"/>
      <c r="F161"/>
    </row>
    <row r="162" spans="3:6" x14ac:dyDescent="0.25">
      <c r="C162" s="49"/>
      <c r="D162" s="134"/>
      <c r="E162"/>
      <c r="F162"/>
    </row>
    <row r="163" spans="3:6" x14ac:dyDescent="0.25">
      <c r="C163" s="49"/>
      <c r="D163" s="134"/>
      <c r="E163"/>
      <c r="F163"/>
    </row>
    <row r="164" spans="3:6" x14ac:dyDescent="0.25">
      <c r="C164" s="49"/>
      <c r="D164" s="134"/>
      <c r="E164"/>
      <c r="F164"/>
    </row>
    <row r="165" spans="3:6" x14ac:dyDescent="0.25">
      <c r="C165" s="49"/>
      <c r="D165" s="134"/>
      <c r="E165"/>
      <c r="F165"/>
    </row>
    <row r="166" spans="3:6" x14ac:dyDescent="0.25">
      <c r="C166" s="49"/>
      <c r="D166" s="134"/>
      <c r="E166"/>
      <c r="F166"/>
    </row>
    <row r="167" spans="3:6" x14ac:dyDescent="0.25">
      <c r="C167" s="49"/>
      <c r="D167" s="134"/>
      <c r="E167"/>
      <c r="F167"/>
    </row>
    <row r="168" spans="3:6" x14ac:dyDescent="0.25">
      <c r="C168" s="49"/>
      <c r="D168" s="134"/>
      <c r="E168"/>
      <c r="F168"/>
    </row>
    <row r="169" spans="3:6" x14ac:dyDescent="0.25">
      <c r="C169" s="49"/>
      <c r="D169" s="134"/>
      <c r="E169"/>
      <c r="F169"/>
    </row>
    <row r="170" spans="3:6" x14ac:dyDescent="0.25">
      <c r="C170" s="49"/>
      <c r="D170" s="134"/>
      <c r="E170"/>
      <c r="F170"/>
    </row>
    <row r="171" spans="3:6" x14ac:dyDescent="0.25">
      <c r="C171" s="49"/>
      <c r="D171" s="134"/>
      <c r="E171"/>
      <c r="F171"/>
    </row>
    <row r="172" spans="3:6" x14ac:dyDescent="0.25">
      <c r="C172" s="49"/>
      <c r="D172" s="134"/>
      <c r="E172"/>
      <c r="F172"/>
    </row>
    <row r="173" spans="3:6" x14ac:dyDescent="0.25">
      <c r="C173" s="49"/>
      <c r="D173" s="134"/>
      <c r="E173"/>
      <c r="F173"/>
    </row>
    <row r="174" spans="3:6" x14ac:dyDescent="0.25">
      <c r="C174" s="49"/>
      <c r="D174" s="134"/>
      <c r="E174"/>
      <c r="F174"/>
    </row>
    <row r="175" spans="3:6" x14ac:dyDescent="0.25">
      <c r="C175" s="49"/>
      <c r="D175" s="134"/>
      <c r="E175"/>
      <c r="F175"/>
    </row>
    <row r="176" spans="3:6" x14ac:dyDescent="0.25">
      <c r="C176" s="49"/>
      <c r="D176" s="134"/>
      <c r="E176"/>
      <c r="F176"/>
    </row>
    <row r="177" spans="3:6" x14ac:dyDescent="0.25">
      <c r="C177" s="49"/>
      <c r="D177" s="134"/>
      <c r="E177"/>
      <c r="F177"/>
    </row>
    <row r="178" spans="3:6" x14ac:dyDescent="0.25">
      <c r="C178" s="49"/>
      <c r="D178" s="134"/>
      <c r="E178"/>
      <c r="F178"/>
    </row>
    <row r="179" spans="3:6" x14ac:dyDescent="0.25">
      <c r="C179" s="49"/>
      <c r="D179" s="134"/>
      <c r="E179"/>
      <c r="F179"/>
    </row>
    <row r="180" spans="3:6" x14ac:dyDescent="0.25">
      <c r="C180" s="49"/>
      <c r="D180" s="134"/>
      <c r="E180"/>
      <c r="F180"/>
    </row>
    <row r="181" spans="3:6" x14ac:dyDescent="0.25">
      <c r="C181" s="49"/>
      <c r="D181" s="134"/>
      <c r="E181"/>
      <c r="F181"/>
    </row>
    <row r="182" spans="3:6" x14ac:dyDescent="0.25">
      <c r="C182" s="49"/>
      <c r="D182" s="134"/>
      <c r="E182"/>
      <c r="F182"/>
    </row>
    <row r="183" spans="3:6" x14ac:dyDescent="0.25">
      <c r="C183" s="49"/>
      <c r="D183" s="134"/>
      <c r="E183"/>
      <c r="F183"/>
    </row>
    <row r="184" spans="3:6" x14ac:dyDescent="0.25">
      <c r="C184" s="49"/>
      <c r="D184" s="134"/>
      <c r="E184"/>
      <c r="F184"/>
    </row>
    <row r="185" spans="3:6" x14ac:dyDescent="0.25">
      <c r="C185" s="49"/>
      <c r="D185" s="134"/>
      <c r="E185"/>
      <c r="F185"/>
    </row>
    <row r="186" spans="3:6" x14ac:dyDescent="0.25">
      <c r="C186" s="49"/>
      <c r="D186" s="134"/>
      <c r="E186"/>
      <c r="F186"/>
    </row>
    <row r="187" spans="3:6" x14ac:dyDescent="0.25">
      <c r="C187" s="49"/>
      <c r="D187" s="134"/>
      <c r="E187"/>
      <c r="F187"/>
    </row>
    <row r="188" spans="3:6" x14ac:dyDescent="0.25">
      <c r="C188" s="49"/>
      <c r="D188" s="134"/>
      <c r="E188"/>
      <c r="F188"/>
    </row>
    <row r="189" spans="3:6" x14ac:dyDescent="0.25">
      <c r="C189" s="49"/>
      <c r="D189" s="134"/>
      <c r="E189"/>
      <c r="F189"/>
    </row>
    <row r="190" spans="3:6" x14ac:dyDescent="0.25">
      <c r="C190" s="49"/>
      <c r="D190" s="134"/>
      <c r="E190"/>
      <c r="F190"/>
    </row>
    <row r="191" spans="3:6" x14ac:dyDescent="0.25">
      <c r="C191" s="49"/>
      <c r="D191" s="134"/>
      <c r="E191"/>
      <c r="F191"/>
    </row>
    <row r="192" spans="3:6" x14ac:dyDescent="0.25">
      <c r="C192" s="49"/>
      <c r="D192" s="134"/>
      <c r="E192"/>
      <c r="F192"/>
    </row>
    <row r="193" spans="3:6" x14ac:dyDescent="0.25">
      <c r="C193" s="49"/>
      <c r="D193" s="134"/>
      <c r="E193"/>
      <c r="F193"/>
    </row>
    <row r="194" spans="3:6" x14ac:dyDescent="0.25">
      <c r="C194" s="49"/>
      <c r="D194" s="134"/>
      <c r="E194"/>
      <c r="F194"/>
    </row>
    <row r="195" spans="3:6" x14ac:dyDescent="0.25">
      <c r="C195" s="49"/>
      <c r="D195" s="134"/>
      <c r="E195"/>
      <c r="F195"/>
    </row>
    <row r="196" spans="3:6" x14ac:dyDescent="0.25">
      <c r="C196" s="49"/>
      <c r="D196" s="134"/>
      <c r="E196"/>
      <c r="F196"/>
    </row>
    <row r="197" spans="3:6" x14ac:dyDescent="0.25">
      <c r="C197" s="49"/>
      <c r="D197" s="134"/>
      <c r="E197"/>
      <c r="F197"/>
    </row>
    <row r="198" spans="3:6" x14ac:dyDescent="0.25">
      <c r="C198" s="49"/>
      <c r="D198" s="134"/>
      <c r="E198"/>
      <c r="F198"/>
    </row>
    <row r="199" spans="3:6" x14ac:dyDescent="0.25">
      <c r="C199" s="49"/>
      <c r="D199" s="134"/>
      <c r="E199"/>
      <c r="F199"/>
    </row>
    <row r="200" spans="3:6" x14ac:dyDescent="0.25">
      <c r="C200" s="49"/>
      <c r="D200" s="134"/>
      <c r="E200"/>
      <c r="F200"/>
    </row>
    <row r="201" spans="3:6" x14ac:dyDescent="0.25">
      <c r="C201" s="49"/>
      <c r="D201" s="134"/>
      <c r="E201"/>
      <c r="F201"/>
    </row>
    <row r="202" spans="3:6" x14ac:dyDescent="0.25">
      <c r="C202" s="49"/>
      <c r="D202" s="134"/>
      <c r="E202"/>
      <c r="F202"/>
    </row>
    <row r="203" spans="3:6" x14ac:dyDescent="0.25">
      <c r="C203" s="49"/>
      <c r="D203" s="134"/>
      <c r="E203"/>
      <c r="F203"/>
    </row>
    <row r="204" spans="3:6" x14ac:dyDescent="0.25">
      <c r="C204" s="49"/>
      <c r="D204" s="134"/>
      <c r="E204"/>
      <c r="F204"/>
    </row>
    <row r="205" spans="3:6" x14ac:dyDescent="0.25">
      <c r="C205" s="49"/>
      <c r="D205" s="134"/>
      <c r="E205"/>
      <c r="F205"/>
    </row>
    <row r="206" spans="3:6" x14ac:dyDescent="0.25">
      <c r="C206" s="49"/>
      <c r="D206" s="134"/>
      <c r="E206"/>
      <c r="F206"/>
    </row>
    <row r="207" spans="3:6" x14ac:dyDescent="0.25">
      <c r="C207" s="49"/>
      <c r="D207" s="134"/>
      <c r="E207"/>
      <c r="F207"/>
    </row>
    <row r="208" spans="3:6" x14ac:dyDescent="0.25">
      <c r="C208" s="49"/>
      <c r="D208" s="134"/>
      <c r="E208"/>
      <c r="F208"/>
    </row>
    <row r="209" spans="3:6" x14ac:dyDescent="0.25">
      <c r="C209" s="49"/>
      <c r="D209" s="134"/>
      <c r="E209"/>
      <c r="F209"/>
    </row>
    <row r="210" spans="3:6" x14ac:dyDescent="0.25">
      <c r="C210" s="49"/>
      <c r="D210" s="134"/>
      <c r="E210"/>
      <c r="F210"/>
    </row>
    <row r="211" spans="3:6" x14ac:dyDescent="0.25">
      <c r="C211" s="49"/>
      <c r="D211" s="134"/>
      <c r="E211"/>
      <c r="F211"/>
    </row>
    <row r="212" spans="3:6" x14ac:dyDescent="0.25">
      <c r="C212" s="49"/>
      <c r="D212" s="134"/>
      <c r="E212"/>
      <c r="F212"/>
    </row>
    <row r="213" spans="3:6" x14ac:dyDescent="0.25">
      <c r="C213" s="49"/>
      <c r="D213" s="134"/>
      <c r="E213"/>
      <c r="F213"/>
    </row>
    <row r="214" spans="3:6" x14ac:dyDescent="0.25">
      <c r="C214" s="49"/>
      <c r="D214" s="134"/>
      <c r="E214"/>
      <c r="F214"/>
    </row>
    <row r="215" spans="3:6" x14ac:dyDescent="0.25">
      <c r="C215" s="49"/>
      <c r="D215" s="134"/>
      <c r="E215"/>
      <c r="F215"/>
    </row>
    <row r="216" spans="3:6" x14ac:dyDescent="0.25">
      <c r="C216" s="49"/>
      <c r="D216" s="134"/>
      <c r="E216"/>
      <c r="F216"/>
    </row>
    <row r="217" spans="3:6" x14ac:dyDescent="0.25">
      <c r="C217" s="49"/>
      <c r="D217" s="134"/>
      <c r="E217"/>
      <c r="F217"/>
    </row>
    <row r="218" spans="3:6" x14ac:dyDescent="0.25">
      <c r="C218" s="49"/>
      <c r="D218" s="134"/>
      <c r="E218"/>
      <c r="F218"/>
    </row>
    <row r="219" spans="3:6" x14ac:dyDescent="0.25">
      <c r="C219" s="49"/>
      <c r="D219" s="134"/>
      <c r="E219"/>
      <c r="F219"/>
    </row>
    <row r="220" spans="3:6" x14ac:dyDescent="0.25">
      <c r="C220" s="49"/>
      <c r="D220" s="134"/>
      <c r="E220"/>
      <c r="F220"/>
    </row>
    <row r="221" spans="3:6" x14ac:dyDescent="0.25">
      <c r="C221" s="49"/>
      <c r="D221" s="134"/>
      <c r="E221"/>
      <c r="F221"/>
    </row>
    <row r="222" spans="3:6" x14ac:dyDescent="0.25">
      <c r="C222" s="49"/>
      <c r="D222" s="134"/>
      <c r="E222"/>
      <c r="F222"/>
    </row>
    <row r="223" spans="3:6" x14ac:dyDescent="0.25">
      <c r="C223" s="49"/>
      <c r="D223" s="134"/>
      <c r="E223"/>
      <c r="F223"/>
    </row>
    <row r="224" spans="3:6" x14ac:dyDescent="0.25">
      <c r="C224" s="49"/>
      <c r="D224" s="134"/>
      <c r="E224"/>
      <c r="F224"/>
    </row>
    <row r="225" spans="3:6" x14ac:dyDescent="0.25">
      <c r="C225" s="49"/>
      <c r="D225" s="134"/>
      <c r="E225"/>
      <c r="F225"/>
    </row>
    <row r="226" spans="3:6" x14ac:dyDescent="0.25">
      <c r="C226" s="49"/>
      <c r="D226" s="134"/>
      <c r="E226"/>
      <c r="F226"/>
    </row>
    <row r="227" spans="3:6" x14ac:dyDescent="0.25">
      <c r="C227" s="49"/>
      <c r="D227" s="134"/>
      <c r="E227"/>
      <c r="F227"/>
    </row>
    <row r="228" spans="3:6" x14ac:dyDescent="0.25">
      <c r="C228" s="49"/>
      <c r="D228" s="134"/>
      <c r="E228"/>
      <c r="F228"/>
    </row>
    <row r="229" spans="3:6" x14ac:dyDescent="0.25">
      <c r="C229" s="49"/>
      <c r="D229" s="134"/>
      <c r="E229"/>
      <c r="F229"/>
    </row>
    <row r="230" spans="3:6" x14ac:dyDescent="0.25">
      <c r="C230" s="49"/>
      <c r="D230" s="134"/>
      <c r="E230"/>
      <c r="F230"/>
    </row>
    <row r="231" spans="3:6" x14ac:dyDescent="0.25">
      <c r="C231" s="49"/>
      <c r="D231" s="134"/>
      <c r="E231"/>
      <c r="F231"/>
    </row>
    <row r="232" spans="3:6" x14ac:dyDescent="0.25">
      <c r="C232" s="49"/>
      <c r="D232" s="134"/>
      <c r="E232"/>
      <c r="F232"/>
    </row>
    <row r="233" spans="3:6" x14ac:dyDescent="0.25">
      <c r="C233" s="49"/>
      <c r="D233" s="134"/>
      <c r="E233"/>
      <c r="F233"/>
    </row>
    <row r="234" spans="3:6" x14ac:dyDescent="0.25">
      <c r="C234" s="49"/>
      <c r="D234" s="134"/>
      <c r="E234"/>
      <c r="F234"/>
    </row>
    <row r="235" spans="3:6" x14ac:dyDescent="0.25">
      <c r="C235" s="49"/>
      <c r="D235" s="134"/>
      <c r="E235"/>
      <c r="F235"/>
    </row>
    <row r="236" spans="3:6" x14ac:dyDescent="0.25">
      <c r="C236" s="49"/>
      <c r="D236" s="134"/>
      <c r="E236"/>
      <c r="F236"/>
    </row>
    <row r="237" spans="3:6" x14ac:dyDescent="0.25">
      <c r="C237" s="49"/>
      <c r="D237" s="134"/>
      <c r="E237"/>
      <c r="F237"/>
    </row>
    <row r="238" spans="3:6" x14ac:dyDescent="0.25">
      <c r="C238" s="49"/>
      <c r="D238" s="134"/>
      <c r="E238"/>
      <c r="F238"/>
    </row>
  </sheetData>
  <sheetProtection algorithmName="SHA-512" hashValue="jL6cRDn1Je87QICwpcFFhE6X0IFoGDzKgvV38vBdPa9FXAIRZsZxS74mQ4+Xk9+1t+n0txK/mk0UrvyqaXazXA==" saltValue="7Pr+0RMKlejtbjTyY9ooKA==" spinCount="100000" sheet="1" objects="1" scenarios="1"/>
  <mergeCells count="5">
    <mergeCell ref="A1:D1"/>
    <mergeCell ref="B25:C25"/>
    <mergeCell ref="C75:F75"/>
    <mergeCell ref="B68:K68"/>
    <mergeCell ref="B61:K6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3693-FCA5-4839-AA8E-4630B721C508}">
  <dimension ref="A2:O29"/>
  <sheetViews>
    <sheetView tabSelected="1" topLeftCell="I1" workbookViewId="0">
      <selection activeCell="P16" sqref="P16"/>
    </sheetView>
  </sheetViews>
  <sheetFormatPr baseColWidth="10" defaultRowHeight="15" x14ac:dyDescent="0.25"/>
  <cols>
    <col min="1" max="1" width="39.42578125" customWidth="1"/>
    <col min="2" max="2" width="18.42578125" style="43" bestFit="1" customWidth="1"/>
    <col min="3" max="15" width="11.42578125" style="43"/>
  </cols>
  <sheetData>
    <row r="2" spans="1:15" x14ac:dyDescent="0.25">
      <c r="A2" t="s">
        <v>83</v>
      </c>
    </row>
    <row r="3" spans="1:15" x14ac:dyDescent="0.25">
      <c r="A3" t="s">
        <v>107</v>
      </c>
    </row>
    <row r="4" spans="1:15" ht="15.75" thickBot="1" x14ac:dyDescent="0.3"/>
    <row r="5" spans="1:15" x14ac:dyDescent="0.25">
      <c r="A5" s="198"/>
      <c r="B5" s="222">
        <v>44196</v>
      </c>
      <c r="C5" s="18"/>
      <c r="D5" s="222">
        <v>43800</v>
      </c>
      <c r="E5" s="18"/>
      <c r="F5" s="222">
        <v>41244</v>
      </c>
      <c r="G5" s="18"/>
      <c r="H5" s="222">
        <v>40513</v>
      </c>
      <c r="I5" s="18"/>
      <c r="J5" s="222">
        <v>38687</v>
      </c>
      <c r="K5" s="18"/>
      <c r="L5" s="222">
        <v>36861</v>
      </c>
      <c r="M5" s="18"/>
      <c r="N5" s="222">
        <v>36495</v>
      </c>
      <c r="O5" s="19"/>
    </row>
    <row r="6" spans="1:15" ht="15.75" thickBot="1" x14ac:dyDescent="0.3">
      <c r="A6" s="226"/>
      <c r="B6" s="3" t="s">
        <v>108</v>
      </c>
      <c r="C6" s="3" t="s">
        <v>109</v>
      </c>
      <c r="D6" s="3" t="s">
        <v>108</v>
      </c>
      <c r="E6" s="3" t="s">
        <v>109</v>
      </c>
      <c r="F6" s="3" t="s">
        <v>78</v>
      </c>
      <c r="G6" s="3" t="s">
        <v>109</v>
      </c>
      <c r="H6" s="3" t="s">
        <v>78</v>
      </c>
      <c r="I6" s="3" t="s">
        <v>109</v>
      </c>
      <c r="J6" s="3" t="s">
        <v>78</v>
      </c>
      <c r="K6" s="3" t="s">
        <v>109</v>
      </c>
      <c r="L6" s="3" t="s">
        <v>78</v>
      </c>
      <c r="M6" s="3" t="s">
        <v>109</v>
      </c>
      <c r="N6" s="3" t="s">
        <v>78</v>
      </c>
      <c r="O6" s="14" t="s">
        <v>109</v>
      </c>
    </row>
    <row r="7" spans="1:15" x14ac:dyDescent="0.25">
      <c r="A7" s="198" t="s">
        <v>84</v>
      </c>
      <c r="B7" s="223">
        <v>12600394124552.398</v>
      </c>
      <c r="C7" s="224">
        <f>B7/$B$17</f>
        <v>2.2371056992896321E-2</v>
      </c>
      <c r="D7" s="223">
        <v>3012341</v>
      </c>
      <c r="E7" s="224">
        <v>7.0000000000000007E-2</v>
      </c>
      <c r="F7" s="223">
        <v>710463</v>
      </c>
      <c r="G7" s="224">
        <v>0.1</v>
      </c>
      <c r="H7" s="223">
        <v>363391</v>
      </c>
      <c r="I7" s="224">
        <v>0.12</v>
      </c>
      <c r="J7" s="223">
        <v>88756</v>
      </c>
      <c r="K7" s="224">
        <v>0.13</v>
      </c>
      <c r="L7" s="223">
        <v>19635</v>
      </c>
      <c r="M7" s="224">
        <v>0.12</v>
      </c>
      <c r="N7" s="223">
        <v>17922</v>
      </c>
      <c r="O7" s="225">
        <v>0.14000000000000001</v>
      </c>
    </row>
    <row r="8" spans="1:15" x14ac:dyDescent="0.25">
      <c r="A8" s="226" t="s">
        <v>85</v>
      </c>
      <c r="B8" s="227">
        <v>487629768395275.38</v>
      </c>
      <c r="C8" s="228">
        <f t="shared" ref="C8:C17" si="0">B8/$B$17</f>
        <v>0.86575016879410904</v>
      </c>
      <c r="D8" s="227">
        <v>33447329</v>
      </c>
      <c r="E8" s="228">
        <v>0.82</v>
      </c>
      <c r="F8" s="227">
        <v>4921993</v>
      </c>
      <c r="G8" s="228">
        <v>0.68</v>
      </c>
      <c r="H8" s="227">
        <v>1779697</v>
      </c>
      <c r="I8" s="228">
        <v>0.6</v>
      </c>
      <c r="J8" s="227">
        <v>340375</v>
      </c>
      <c r="K8" s="228">
        <v>0.48</v>
      </c>
      <c r="L8" s="227">
        <v>60522</v>
      </c>
      <c r="M8" s="228">
        <v>0.37</v>
      </c>
      <c r="N8" s="227">
        <v>43040</v>
      </c>
      <c r="O8" s="229">
        <v>0.34</v>
      </c>
    </row>
    <row r="9" spans="1:15" x14ac:dyDescent="0.25">
      <c r="A9" s="226" t="s">
        <v>86</v>
      </c>
      <c r="B9" s="227">
        <v>61862812908240.344</v>
      </c>
      <c r="C9" s="228">
        <f t="shared" si="0"/>
        <v>0.10983279567537244</v>
      </c>
      <c r="D9" s="227">
        <v>4063280</v>
      </c>
      <c r="E9" s="228">
        <v>0.1</v>
      </c>
      <c r="F9" s="227">
        <v>1386729</v>
      </c>
      <c r="G9" s="228">
        <v>0.19</v>
      </c>
      <c r="H9" s="227">
        <v>578555</v>
      </c>
      <c r="I9" s="228">
        <v>0.2</v>
      </c>
      <c r="J9" s="3"/>
      <c r="K9" s="3"/>
      <c r="L9" s="3"/>
      <c r="M9" s="3"/>
      <c r="N9" s="3"/>
      <c r="O9" s="14"/>
    </row>
    <row r="10" spans="1:15" x14ac:dyDescent="0.25">
      <c r="A10" s="234" t="s">
        <v>87</v>
      </c>
      <c r="B10" s="235">
        <v>562092975428068.06</v>
      </c>
      <c r="C10" s="236">
        <f t="shared" si="0"/>
        <v>0.99795402146237766</v>
      </c>
      <c r="D10" s="235">
        <v>40522951</v>
      </c>
      <c r="E10" s="236">
        <v>1</v>
      </c>
      <c r="F10" s="235">
        <v>7019185</v>
      </c>
      <c r="G10" s="236">
        <v>0.98</v>
      </c>
      <c r="H10" s="235">
        <v>2721644</v>
      </c>
      <c r="I10" s="236">
        <v>0.92</v>
      </c>
      <c r="J10" s="235">
        <v>429131</v>
      </c>
      <c r="K10" s="236">
        <v>0.61</v>
      </c>
      <c r="L10" s="235">
        <v>80157</v>
      </c>
      <c r="M10" s="236">
        <v>0.49</v>
      </c>
      <c r="N10" s="235">
        <v>60962</v>
      </c>
      <c r="O10" s="237">
        <v>0.48</v>
      </c>
    </row>
    <row r="11" spans="1:15" x14ac:dyDescent="0.25">
      <c r="A11" s="226" t="s">
        <v>89</v>
      </c>
      <c r="B11" s="156">
        <v>1139727641137.02</v>
      </c>
      <c r="C11" s="228">
        <f t="shared" si="0"/>
        <v>2.0235011511722284E-3</v>
      </c>
      <c r="D11" s="227">
        <v>87768</v>
      </c>
      <c r="E11" s="228">
        <v>0</v>
      </c>
      <c r="F11" s="227">
        <v>100557</v>
      </c>
      <c r="G11" s="228">
        <v>0.01</v>
      </c>
      <c r="H11" s="227">
        <v>63730</v>
      </c>
      <c r="I11" s="228">
        <v>0.02</v>
      </c>
      <c r="J11" s="227">
        <v>169492</v>
      </c>
      <c r="K11" s="228">
        <v>0.24</v>
      </c>
      <c r="L11" s="227">
        <v>48069</v>
      </c>
      <c r="M11" s="228">
        <v>0.28999999999999998</v>
      </c>
      <c r="N11" s="227">
        <v>37996</v>
      </c>
      <c r="O11" s="229">
        <v>0.3</v>
      </c>
    </row>
    <row r="12" spans="1:15" x14ac:dyDescent="0.25">
      <c r="A12" s="226" t="s">
        <v>90</v>
      </c>
      <c r="B12" s="156">
        <v>12660283693.039999</v>
      </c>
      <c r="C12" s="228">
        <f t="shared" si="0"/>
        <v>2.247738644074315E-5</v>
      </c>
      <c r="D12" s="227">
        <v>3750</v>
      </c>
      <c r="E12" s="228">
        <v>0</v>
      </c>
      <c r="F12" s="227">
        <v>46237</v>
      </c>
      <c r="G12" s="228">
        <v>0.01</v>
      </c>
      <c r="H12" s="227">
        <v>103990</v>
      </c>
      <c r="I12" s="228">
        <v>0.04</v>
      </c>
      <c r="J12" s="227">
        <v>110122</v>
      </c>
      <c r="K12" s="228">
        <v>0.16</v>
      </c>
      <c r="L12" s="227">
        <v>35031</v>
      </c>
      <c r="M12" s="228">
        <v>0.21</v>
      </c>
      <c r="N12" s="227">
        <v>28581</v>
      </c>
      <c r="O12" s="229">
        <v>0.22</v>
      </c>
    </row>
    <row r="13" spans="1:15" x14ac:dyDescent="0.25">
      <c r="A13" s="226" t="s">
        <v>91</v>
      </c>
      <c r="B13" s="156">
        <v>1</v>
      </c>
      <c r="C13" s="228">
        <f t="shared" si="0"/>
        <v>1.7754251789081244E-15</v>
      </c>
      <c r="D13" s="3">
        <v>0</v>
      </c>
      <c r="E13" s="228">
        <v>0</v>
      </c>
      <c r="F13" s="227">
        <v>24497</v>
      </c>
      <c r="G13" s="228">
        <v>0</v>
      </c>
      <c r="H13" s="227">
        <v>76614</v>
      </c>
      <c r="I13" s="228">
        <v>0.03</v>
      </c>
      <c r="J13" s="3"/>
      <c r="K13" s="3"/>
      <c r="L13" s="3"/>
      <c r="M13" s="3"/>
      <c r="N13" s="3"/>
      <c r="O13" s="14"/>
    </row>
    <row r="14" spans="1:15" x14ac:dyDescent="0.25">
      <c r="A14" s="226" t="s">
        <v>92</v>
      </c>
      <c r="B14" s="227">
        <v>1152387924831.0601</v>
      </c>
      <c r="C14" s="228">
        <f t="shared" si="0"/>
        <v>2.0459785376147469E-3</v>
      </c>
      <c r="D14" s="227">
        <v>91518</v>
      </c>
      <c r="E14" s="228">
        <v>0</v>
      </c>
      <c r="F14" s="227">
        <v>171290</v>
      </c>
      <c r="G14" s="228">
        <v>0.02</v>
      </c>
      <c r="H14" s="227">
        <v>244334</v>
      </c>
      <c r="I14" s="228">
        <v>0.08</v>
      </c>
      <c r="J14" s="227">
        <v>279615</v>
      </c>
      <c r="K14" s="228">
        <v>0.39</v>
      </c>
      <c r="L14" s="227">
        <v>83100</v>
      </c>
      <c r="M14" s="228">
        <v>0.51</v>
      </c>
      <c r="N14" s="227">
        <v>66577</v>
      </c>
      <c r="O14" s="229">
        <v>0.52</v>
      </c>
    </row>
    <row r="15" spans="1:15" x14ac:dyDescent="0.25">
      <c r="A15" s="226" t="s">
        <v>93</v>
      </c>
      <c r="B15" s="227">
        <v>563245363352899.13</v>
      </c>
      <c r="C15" s="228">
        <f t="shared" si="0"/>
        <v>0.99999999999999245</v>
      </c>
      <c r="D15" s="227">
        <v>40614469</v>
      </c>
      <c r="E15" s="228">
        <v>1</v>
      </c>
      <c r="F15" s="227">
        <v>7190475</v>
      </c>
      <c r="G15" s="228">
        <v>1</v>
      </c>
      <c r="H15" s="227">
        <v>2965978</v>
      </c>
      <c r="I15" s="228">
        <v>1</v>
      </c>
      <c r="J15" s="227">
        <v>708745</v>
      </c>
      <c r="K15" s="228">
        <v>1</v>
      </c>
      <c r="L15" s="227">
        <v>163257</v>
      </c>
      <c r="M15" s="228">
        <v>1</v>
      </c>
      <c r="N15" s="227">
        <v>127539</v>
      </c>
      <c r="O15" s="229">
        <v>1</v>
      </c>
    </row>
    <row r="16" spans="1:15" x14ac:dyDescent="0.25">
      <c r="A16" s="226" t="s">
        <v>95</v>
      </c>
      <c r="B16" s="233">
        <v>4.25</v>
      </c>
      <c r="C16" s="228">
        <f t="shared" si="0"/>
        <v>7.5455570103595281E-15</v>
      </c>
      <c r="D16" s="3">
        <v>0</v>
      </c>
      <c r="E16" s="228">
        <v>0</v>
      </c>
      <c r="F16" s="3">
        <v>7</v>
      </c>
      <c r="G16" s="228">
        <v>0</v>
      </c>
      <c r="H16" s="3">
        <v>9</v>
      </c>
      <c r="I16" s="228">
        <v>0</v>
      </c>
      <c r="J16" s="3">
        <v>77</v>
      </c>
      <c r="K16" s="228">
        <v>0</v>
      </c>
      <c r="L16" s="3">
        <v>599</v>
      </c>
      <c r="M16" s="228">
        <v>0</v>
      </c>
      <c r="N16" s="3">
        <v>603</v>
      </c>
      <c r="O16" s="229">
        <v>0</v>
      </c>
    </row>
    <row r="17" spans="1:15" ht="15.75" thickBot="1" x14ac:dyDescent="0.3">
      <c r="A17" s="82" t="s">
        <v>96</v>
      </c>
      <c r="B17" s="230">
        <v>563245363352903.38</v>
      </c>
      <c r="C17" s="231">
        <f t="shared" si="0"/>
        <v>1</v>
      </c>
      <c r="D17" s="230">
        <v>40614469</v>
      </c>
      <c r="E17" s="231">
        <v>1</v>
      </c>
      <c r="F17" s="230">
        <v>7190482</v>
      </c>
      <c r="G17" s="231">
        <v>1</v>
      </c>
      <c r="H17" s="230">
        <v>2965986</v>
      </c>
      <c r="I17" s="231">
        <v>1</v>
      </c>
      <c r="J17" s="230">
        <v>708823</v>
      </c>
      <c r="K17" s="231">
        <v>1</v>
      </c>
      <c r="L17" s="230">
        <v>163856</v>
      </c>
      <c r="M17" s="231">
        <v>1</v>
      </c>
      <c r="N17" s="230">
        <v>128142</v>
      </c>
      <c r="O17" s="232">
        <v>1</v>
      </c>
    </row>
    <row r="19" spans="1:15" x14ac:dyDescent="0.25">
      <c r="A19" t="s">
        <v>110</v>
      </c>
    </row>
    <row r="20" spans="1:15" x14ac:dyDescent="0.25">
      <c r="A20" t="s">
        <v>111</v>
      </c>
    </row>
    <row r="21" spans="1:15" x14ac:dyDescent="0.25">
      <c r="A21" t="s">
        <v>112</v>
      </c>
    </row>
    <row r="22" spans="1:15" x14ac:dyDescent="0.25">
      <c r="A22" t="s">
        <v>113</v>
      </c>
    </row>
    <row r="23" spans="1:15" x14ac:dyDescent="0.25">
      <c r="A23" t="s">
        <v>114</v>
      </c>
    </row>
    <row r="24" spans="1:15" x14ac:dyDescent="0.25">
      <c r="A24" t="s">
        <v>115</v>
      </c>
    </row>
    <row r="25" spans="1:15" x14ac:dyDescent="0.25">
      <c r="A25" t="s">
        <v>116</v>
      </c>
    </row>
    <row r="26" spans="1:15" x14ac:dyDescent="0.25">
      <c r="A26" t="s">
        <v>117</v>
      </c>
    </row>
    <row r="27" spans="1:15" x14ac:dyDescent="0.25">
      <c r="A27" t="s">
        <v>118</v>
      </c>
    </row>
    <row r="28" spans="1:15" x14ac:dyDescent="0.25">
      <c r="A28" t="s">
        <v>119</v>
      </c>
    </row>
    <row r="29" spans="1:15" x14ac:dyDescent="0.25">
      <c r="A29" t="s">
        <v>120</v>
      </c>
    </row>
  </sheetData>
  <sheetProtection algorithmName="SHA-512" hashValue="dw0MCaRIerPzVUvLVEd2aJa4VyQELs2ulBkH2wOjc8fmOrIy6ajm0AOelGw+B55bK9OtHqQqKzII4CSNPAYniA==" saltValue="D/7osGq3FhFOvMqdSmWNX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#1. Regresión</vt:lpstr>
      <vt:lpstr>#2. INPC</vt:lpstr>
      <vt:lpstr>#3. Análisis</vt:lpstr>
      <vt:lpstr>#4. Liquidez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Jesús A. Rojas Díaz</cp:lastModifiedBy>
  <dcterms:created xsi:type="dcterms:W3CDTF">2015-06-05T18:17:20Z</dcterms:created>
  <dcterms:modified xsi:type="dcterms:W3CDTF">2021-03-20T20:38:09Z</dcterms:modified>
</cp:coreProperties>
</file>